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FF09F96-DCEA-4A0A-8A44-6FAE88B01EB5}" xr6:coauthVersionLast="47" xr6:coauthVersionMax="47" xr10:uidLastSave="{00000000-0000-0000-0000-000000000000}"/>
  <bookViews>
    <workbookView xWindow="-120" yWindow="-120" windowWidth="29040" windowHeight="15840" activeTab="3" xr2:uid="{14BE904D-0E8A-4245-97EC-EB1AD16EB8C7}"/>
  </bookViews>
  <sheets>
    <sheet name="700 people_Lower" sheetId="6" r:id="rId1"/>
    <sheet name="700 people_Higher" sheetId="7" r:id="rId2"/>
    <sheet name="1000 people_Lower" sheetId="1" r:id="rId3"/>
    <sheet name="1000 people_Higher" sheetId="5" r:id="rId4"/>
    <sheet name="1500 people_Lower" sheetId="8" r:id="rId5"/>
    <sheet name="1500 people_Higher" sheetId="9" r:id="rId6"/>
    <sheet name="Break Even Point" sheetId="4" r:id="rId7"/>
    <sheet name="Registration Fee" sheetId="2" state="hidden" r:id="rId8"/>
  </sheets>
  <definedNames>
    <definedName name="_xlnm.Print_Area" localSheetId="2">'1000 people_Lower'!$A$1:$F$97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9" l="1"/>
  <c r="D4" i="8"/>
  <c r="D4" i="5"/>
  <c r="D4" i="1"/>
  <c r="D4" i="7"/>
  <c r="D4" i="6"/>
  <c r="D78" i="5"/>
  <c r="F40" i="4"/>
  <c r="F40" i="9"/>
  <c r="F40" i="8"/>
  <c r="F39" i="5"/>
  <c r="F40" i="1"/>
  <c r="F40" i="7"/>
  <c r="D77" i="1"/>
  <c r="F69" i="5"/>
  <c r="F70" i="1"/>
  <c r="F23" i="4"/>
  <c r="F23" i="9"/>
  <c r="F23" i="8"/>
  <c r="F22" i="5"/>
  <c r="F23" i="1"/>
  <c r="F23" i="7"/>
  <c r="F70" i="9"/>
  <c r="F70" i="8"/>
  <c r="D16" i="4" l="1"/>
  <c r="D16" i="9"/>
  <c r="D16" i="8"/>
  <c r="D15" i="5"/>
  <c r="D16" i="1"/>
  <c r="D16" i="7"/>
  <c r="D72" i="4"/>
  <c r="D77" i="9"/>
  <c r="D77" i="8"/>
  <c r="D76" i="5"/>
  <c r="D71" i="7"/>
  <c r="F23" i="6"/>
  <c r="F39" i="4" l="1"/>
  <c r="D38" i="4"/>
  <c r="F38" i="4" s="1"/>
  <c r="D37" i="4"/>
  <c r="F37" i="4" s="1"/>
  <c r="F39" i="9"/>
  <c r="D38" i="9"/>
  <c r="F38" i="9" s="1"/>
  <c r="D37" i="9"/>
  <c r="F37" i="9" s="1"/>
  <c r="F39" i="8"/>
  <c r="D38" i="8"/>
  <c r="F38" i="8" s="1"/>
  <c r="D37" i="8"/>
  <c r="F37" i="8" s="1"/>
  <c r="F38" i="5"/>
  <c r="D37" i="5"/>
  <c r="F37" i="5" s="1"/>
  <c r="F36" i="5"/>
  <c r="D36" i="5"/>
  <c r="F39" i="1"/>
  <c r="D38" i="1"/>
  <c r="F38" i="1" s="1"/>
  <c r="D37" i="1"/>
  <c r="F37" i="1" s="1"/>
  <c r="F39" i="7"/>
  <c r="D38" i="7"/>
  <c r="F38" i="7" s="1"/>
  <c r="D37" i="7"/>
  <c r="F37" i="7" s="1"/>
  <c r="F40" i="6"/>
  <c r="F39" i="6"/>
  <c r="E30" i="4"/>
  <c r="E29" i="4"/>
  <c r="N90" i="2"/>
  <c r="AA92" i="2"/>
  <c r="W92" i="2"/>
  <c r="O92" i="2"/>
  <c r="C92" i="2"/>
  <c r="AB91" i="2"/>
  <c r="V91" i="2"/>
  <c r="Y91" i="2" s="1"/>
  <c r="R91" i="2"/>
  <c r="U91" i="2" s="1"/>
  <c r="N91" i="2"/>
  <c r="Q91" i="2" s="1"/>
  <c r="J91" i="2"/>
  <c r="M91" i="2" s="1"/>
  <c r="F91" i="2"/>
  <c r="I91" i="2" s="1"/>
  <c r="B91" i="2"/>
  <c r="E91" i="2" s="1"/>
  <c r="AB90" i="2"/>
  <c r="V90" i="2"/>
  <c r="Y90" i="2" s="1"/>
  <c r="R90" i="2"/>
  <c r="U90" i="2" s="1"/>
  <c r="Q90" i="2"/>
  <c r="K92" i="2"/>
  <c r="J90" i="2"/>
  <c r="F90" i="2"/>
  <c r="I90" i="2" s="1"/>
  <c r="B90" i="2"/>
  <c r="E90" i="2" s="1"/>
  <c r="AB89" i="2"/>
  <c r="V89" i="2"/>
  <c r="Y89" i="2" s="1"/>
  <c r="R89" i="2"/>
  <c r="U89" i="2" s="1"/>
  <c r="N89" i="2"/>
  <c r="Q89" i="2" s="1"/>
  <c r="J89" i="2"/>
  <c r="M89" i="2" s="1"/>
  <c r="F89" i="2"/>
  <c r="I89" i="2" s="1"/>
  <c r="Z89" i="2"/>
  <c r="B89" i="2"/>
  <c r="E89" i="2" s="1"/>
  <c r="AB88" i="2"/>
  <c r="V88" i="2"/>
  <c r="Y88" i="2" s="1"/>
  <c r="S92" i="2"/>
  <c r="R88" i="2"/>
  <c r="N88" i="2"/>
  <c r="Q88" i="2" s="1"/>
  <c r="J88" i="2"/>
  <c r="M88" i="2" s="1"/>
  <c r="F88" i="2"/>
  <c r="I88" i="2" s="1"/>
  <c r="B88" i="2"/>
  <c r="E88" i="2" s="1"/>
  <c r="AB87" i="2"/>
  <c r="Z87" i="2"/>
  <c r="L87" i="2" s="1"/>
  <c r="V87" i="2"/>
  <c r="Y87" i="2" s="1"/>
  <c r="R87" i="2"/>
  <c r="U87" i="2" s="1"/>
  <c r="N87" i="2"/>
  <c r="Q87" i="2" s="1"/>
  <c r="J87" i="2"/>
  <c r="M87" i="2" s="1"/>
  <c r="F87" i="2"/>
  <c r="I87" i="2" s="1"/>
  <c r="B87" i="2"/>
  <c r="E87" i="2" s="1"/>
  <c r="AB86" i="2"/>
  <c r="Z86" i="2"/>
  <c r="X86" i="2" s="1"/>
  <c r="V86" i="2"/>
  <c r="Y86" i="2" s="1"/>
  <c r="R86" i="2"/>
  <c r="U86" i="2" s="1"/>
  <c r="N86" i="2"/>
  <c r="Q86" i="2" s="1"/>
  <c r="J86" i="2"/>
  <c r="M86" i="2" s="1"/>
  <c r="F86" i="2"/>
  <c r="I86" i="2" s="1"/>
  <c r="B86" i="2"/>
  <c r="E86" i="2" s="1"/>
  <c r="F5" i="4"/>
  <c r="D87" i="4"/>
  <c r="F87" i="4" s="1"/>
  <c r="D86" i="4"/>
  <c r="F86" i="4" s="1"/>
  <c r="D85" i="4"/>
  <c r="F85" i="4" s="1"/>
  <c r="D81" i="4"/>
  <c r="F81" i="4" s="1"/>
  <c r="D80" i="4"/>
  <c r="F80" i="4" s="1"/>
  <c r="D79" i="4"/>
  <c r="F79" i="4" s="1"/>
  <c r="D75" i="4"/>
  <c r="F75" i="4" s="1"/>
  <c r="D74" i="4"/>
  <c r="F74" i="4" s="1"/>
  <c r="D73" i="4"/>
  <c r="F73" i="4" s="1"/>
  <c r="F72" i="4"/>
  <c r="D68" i="4"/>
  <c r="F68" i="4" s="1"/>
  <c r="D67" i="4"/>
  <c r="F67" i="4" s="1"/>
  <c r="D66" i="4"/>
  <c r="F66" i="4" s="1"/>
  <c r="D62" i="4"/>
  <c r="F62" i="4" s="1"/>
  <c r="D61" i="4"/>
  <c r="F61" i="4" s="1"/>
  <c r="D60" i="4"/>
  <c r="F60" i="4" s="1"/>
  <c r="D59" i="4"/>
  <c r="F59" i="4" s="1"/>
  <c r="D58" i="4"/>
  <c r="F58" i="4" s="1"/>
  <c r="D57" i="4"/>
  <c r="F57" i="4" s="1"/>
  <c r="D56" i="4"/>
  <c r="F56" i="4" s="1"/>
  <c r="D55" i="4"/>
  <c r="F55" i="4" s="1"/>
  <c r="D54" i="4"/>
  <c r="F54" i="4" s="1"/>
  <c r="D53" i="4"/>
  <c r="F53" i="4" s="1"/>
  <c r="D52" i="4"/>
  <c r="F52" i="4" s="1"/>
  <c r="D51" i="4"/>
  <c r="F51" i="4" s="1"/>
  <c r="D50" i="4"/>
  <c r="F50" i="4" s="1"/>
  <c r="D49" i="4"/>
  <c r="F49" i="4" s="1"/>
  <c r="D48" i="4"/>
  <c r="F48" i="4" s="1"/>
  <c r="D47" i="4"/>
  <c r="F47" i="4" s="1"/>
  <c r="D46" i="4"/>
  <c r="F46" i="4" s="1"/>
  <c r="F42" i="4"/>
  <c r="D36" i="4"/>
  <c r="F36" i="4" s="1"/>
  <c r="D32" i="4"/>
  <c r="F32" i="4" s="1"/>
  <c r="D31" i="4"/>
  <c r="F31" i="4" s="1"/>
  <c r="D30" i="4"/>
  <c r="D29" i="4"/>
  <c r="D28" i="4"/>
  <c r="F28" i="4" s="1"/>
  <c r="D24" i="4"/>
  <c r="F24" i="4" s="1"/>
  <c r="D22" i="4"/>
  <c r="F22" i="4" s="1"/>
  <c r="D21" i="4"/>
  <c r="F21" i="4" s="1"/>
  <c r="D20" i="4"/>
  <c r="F20" i="4" s="1"/>
  <c r="D19" i="4"/>
  <c r="F19" i="4" s="1"/>
  <c r="D18" i="4"/>
  <c r="F18" i="4" s="1"/>
  <c r="D17" i="4"/>
  <c r="F17" i="4" s="1"/>
  <c r="F16" i="4"/>
  <c r="D15" i="4"/>
  <c r="F15" i="4" s="1"/>
  <c r="D11" i="4"/>
  <c r="F11" i="4" s="1"/>
  <c r="F12" i="4" s="1"/>
  <c r="D93" i="8"/>
  <c r="F93" i="8" s="1"/>
  <c r="D92" i="8"/>
  <c r="F92" i="8" s="1"/>
  <c r="D91" i="8"/>
  <c r="F91" i="8" s="1"/>
  <c r="D87" i="8"/>
  <c r="F87" i="8" s="1"/>
  <c r="D86" i="8"/>
  <c r="F86" i="8" s="1"/>
  <c r="D84" i="8"/>
  <c r="F84" i="8" s="1"/>
  <c r="D80" i="8"/>
  <c r="F80" i="8" s="1"/>
  <c r="F79" i="8"/>
  <c r="D78" i="8"/>
  <c r="F78" i="8" s="1"/>
  <c r="F77" i="8"/>
  <c r="D73" i="8"/>
  <c r="F73" i="8" s="1"/>
  <c r="D72" i="8"/>
  <c r="F72" i="8" s="1"/>
  <c r="D71" i="8"/>
  <c r="F71" i="8" s="1"/>
  <c r="D69" i="8"/>
  <c r="F69" i="8" s="1"/>
  <c r="D68" i="8"/>
  <c r="F68" i="8" s="1"/>
  <c r="D64" i="8"/>
  <c r="F64" i="8" s="1"/>
  <c r="D63" i="8"/>
  <c r="F63" i="8" s="1"/>
  <c r="D62" i="8"/>
  <c r="F62" i="8" s="1"/>
  <c r="D61" i="8"/>
  <c r="F61" i="8" s="1"/>
  <c r="D60" i="8"/>
  <c r="F60" i="8" s="1"/>
  <c r="D59" i="8"/>
  <c r="F59" i="8" s="1"/>
  <c r="D58" i="8"/>
  <c r="F58" i="8" s="1"/>
  <c r="D57" i="8"/>
  <c r="F57" i="8" s="1"/>
  <c r="D56" i="8"/>
  <c r="F56" i="8" s="1"/>
  <c r="D55" i="8"/>
  <c r="F55" i="8" s="1"/>
  <c r="D54" i="8"/>
  <c r="F54" i="8" s="1"/>
  <c r="D53" i="8"/>
  <c r="F53" i="8" s="1"/>
  <c r="D52" i="8"/>
  <c r="F52" i="8" s="1"/>
  <c r="D51" i="8"/>
  <c r="F51" i="8" s="1"/>
  <c r="D50" i="8"/>
  <c r="F50" i="8" s="1"/>
  <c r="F49" i="8"/>
  <c r="D49" i="8"/>
  <c r="D48" i="8"/>
  <c r="F48" i="8" s="1"/>
  <c r="D47" i="8"/>
  <c r="F47" i="8" s="1"/>
  <c r="D46" i="8"/>
  <c r="F46" i="8" s="1"/>
  <c r="D45" i="8"/>
  <c r="F45" i="8" s="1"/>
  <c r="F41" i="8"/>
  <c r="D36" i="8"/>
  <c r="F36" i="8" s="1"/>
  <c r="D32" i="8"/>
  <c r="F32" i="8" s="1"/>
  <c r="D31" i="8"/>
  <c r="F31" i="8" s="1"/>
  <c r="D30" i="8"/>
  <c r="F30" i="8" s="1"/>
  <c r="D29" i="8"/>
  <c r="F29" i="8" s="1"/>
  <c r="D28" i="8"/>
  <c r="F28" i="8" s="1"/>
  <c r="D24" i="8"/>
  <c r="F24" i="8" s="1"/>
  <c r="D22" i="8"/>
  <c r="F22" i="8" s="1"/>
  <c r="D21" i="8"/>
  <c r="F21" i="8" s="1"/>
  <c r="D20" i="8"/>
  <c r="F20" i="8" s="1"/>
  <c r="D19" i="8"/>
  <c r="F19" i="8" s="1"/>
  <c r="D18" i="8"/>
  <c r="F18" i="8" s="1"/>
  <c r="D17" i="8"/>
  <c r="F17" i="8" s="1"/>
  <c r="F16" i="8"/>
  <c r="D15" i="8"/>
  <c r="F15" i="8" s="1"/>
  <c r="D11" i="8"/>
  <c r="F11" i="8" s="1"/>
  <c r="F12" i="8" s="1"/>
  <c r="D57" i="9"/>
  <c r="D45" i="9"/>
  <c r="F45" i="9" s="1"/>
  <c r="D93" i="9"/>
  <c r="F93" i="9" s="1"/>
  <c r="D92" i="9"/>
  <c r="F92" i="9" s="1"/>
  <c r="D91" i="9"/>
  <c r="F91" i="9" s="1"/>
  <c r="D87" i="9"/>
  <c r="F87" i="9" s="1"/>
  <c r="D86" i="9"/>
  <c r="F86" i="9" s="1"/>
  <c r="D84" i="9"/>
  <c r="F84" i="9" s="1"/>
  <c r="D80" i="9"/>
  <c r="F80" i="9" s="1"/>
  <c r="F79" i="9"/>
  <c r="D78" i="9"/>
  <c r="F78" i="9" s="1"/>
  <c r="F77" i="9"/>
  <c r="D73" i="9"/>
  <c r="F73" i="9" s="1"/>
  <c r="D72" i="9"/>
  <c r="F72" i="9" s="1"/>
  <c r="D71" i="9"/>
  <c r="F71" i="9" s="1"/>
  <c r="D69" i="9"/>
  <c r="F69" i="9" s="1"/>
  <c r="D68" i="9"/>
  <c r="F68" i="9" s="1"/>
  <c r="D64" i="9"/>
  <c r="F64" i="9" s="1"/>
  <c r="D63" i="9"/>
  <c r="F63" i="9" s="1"/>
  <c r="D62" i="9"/>
  <c r="F62" i="9" s="1"/>
  <c r="D61" i="9"/>
  <c r="F61" i="9" s="1"/>
  <c r="D60" i="9"/>
  <c r="F60" i="9" s="1"/>
  <c r="D59" i="9"/>
  <c r="F59" i="9" s="1"/>
  <c r="D58" i="9"/>
  <c r="F58" i="9" s="1"/>
  <c r="F57" i="9"/>
  <c r="D56" i="9"/>
  <c r="F56" i="9" s="1"/>
  <c r="D55" i="9"/>
  <c r="F55" i="9" s="1"/>
  <c r="D54" i="9"/>
  <c r="F54" i="9" s="1"/>
  <c r="D53" i="9"/>
  <c r="F53" i="9" s="1"/>
  <c r="D52" i="9"/>
  <c r="F52" i="9" s="1"/>
  <c r="D51" i="9"/>
  <c r="F51" i="9" s="1"/>
  <c r="D50" i="9"/>
  <c r="F50" i="9" s="1"/>
  <c r="D49" i="9"/>
  <c r="F49" i="9" s="1"/>
  <c r="D48" i="9"/>
  <c r="F48" i="9" s="1"/>
  <c r="D47" i="9"/>
  <c r="F47" i="9" s="1"/>
  <c r="D46" i="9"/>
  <c r="F46" i="9" s="1"/>
  <c r="F41" i="9"/>
  <c r="D36" i="9"/>
  <c r="F36" i="9" s="1"/>
  <c r="D32" i="9"/>
  <c r="F32" i="9" s="1"/>
  <c r="D31" i="9"/>
  <c r="F31" i="9" s="1"/>
  <c r="D30" i="9"/>
  <c r="F30" i="9" s="1"/>
  <c r="D29" i="9"/>
  <c r="F29" i="9" s="1"/>
  <c r="D28" i="9"/>
  <c r="F28" i="9" s="1"/>
  <c r="D24" i="9"/>
  <c r="F24" i="9" s="1"/>
  <c r="D22" i="9"/>
  <c r="F22" i="9" s="1"/>
  <c r="D21" i="9"/>
  <c r="F21" i="9" s="1"/>
  <c r="D20" i="9"/>
  <c r="F20" i="9" s="1"/>
  <c r="D19" i="9"/>
  <c r="F19" i="9" s="1"/>
  <c r="D18" i="9"/>
  <c r="F18" i="9" s="1"/>
  <c r="D17" i="9"/>
  <c r="F17" i="9" s="1"/>
  <c r="F16" i="9"/>
  <c r="D15" i="9"/>
  <c r="F15" i="9" s="1"/>
  <c r="D11" i="9"/>
  <c r="F11" i="9" s="1"/>
  <c r="F12" i="9" s="1"/>
  <c r="F4" i="9"/>
  <c r="D87" i="7"/>
  <c r="F87" i="7" s="1"/>
  <c r="D86" i="7"/>
  <c r="F86" i="7" s="1"/>
  <c r="D85" i="7"/>
  <c r="F85" i="7" s="1"/>
  <c r="D81" i="7"/>
  <c r="F81" i="7" s="1"/>
  <c r="D80" i="7"/>
  <c r="F80" i="7" s="1"/>
  <c r="D78" i="7"/>
  <c r="F78" i="7" s="1"/>
  <c r="D74" i="7"/>
  <c r="F74" i="7" s="1"/>
  <c r="D73" i="7"/>
  <c r="F73" i="7" s="1"/>
  <c r="D72" i="7"/>
  <c r="F72" i="7" s="1"/>
  <c r="F71" i="7"/>
  <c r="D67" i="7"/>
  <c r="F67" i="7" s="1"/>
  <c r="D66" i="7"/>
  <c r="F66" i="7" s="1"/>
  <c r="D65" i="7"/>
  <c r="F65" i="7" s="1"/>
  <c r="D61" i="7"/>
  <c r="F61" i="7" s="1"/>
  <c r="D60" i="7"/>
  <c r="F60" i="7" s="1"/>
  <c r="D59" i="7"/>
  <c r="F59" i="7" s="1"/>
  <c r="D58" i="7"/>
  <c r="F58" i="7" s="1"/>
  <c r="D57" i="7"/>
  <c r="F57" i="7" s="1"/>
  <c r="D56" i="7"/>
  <c r="F56" i="7" s="1"/>
  <c r="D55" i="7"/>
  <c r="F55" i="7" s="1"/>
  <c r="D54" i="7"/>
  <c r="F54" i="7" s="1"/>
  <c r="D53" i="7"/>
  <c r="F53" i="7" s="1"/>
  <c r="D52" i="7"/>
  <c r="F52" i="7" s="1"/>
  <c r="D51" i="7"/>
  <c r="F51" i="7" s="1"/>
  <c r="D50" i="7"/>
  <c r="F50" i="7" s="1"/>
  <c r="D49" i="7"/>
  <c r="F49" i="7" s="1"/>
  <c r="D48" i="7"/>
  <c r="F48" i="7" s="1"/>
  <c r="D47" i="7"/>
  <c r="F47" i="7" s="1"/>
  <c r="D46" i="7"/>
  <c r="F46" i="7" s="1"/>
  <c r="D45" i="7"/>
  <c r="F45" i="7" s="1"/>
  <c r="F41" i="7"/>
  <c r="D36" i="7"/>
  <c r="F36" i="7" s="1"/>
  <c r="D32" i="7"/>
  <c r="F32" i="7" s="1"/>
  <c r="D31" i="7"/>
  <c r="F31" i="7" s="1"/>
  <c r="D30" i="7"/>
  <c r="F30" i="7" s="1"/>
  <c r="D29" i="7"/>
  <c r="F29" i="7" s="1"/>
  <c r="D28" i="7"/>
  <c r="F28" i="7" s="1"/>
  <c r="D24" i="7"/>
  <c r="F24" i="7" s="1"/>
  <c r="D22" i="7"/>
  <c r="F22" i="7" s="1"/>
  <c r="D21" i="7"/>
  <c r="F21" i="7" s="1"/>
  <c r="D20" i="7"/>
  <c r="F20" i="7" s="1"/>
  <c r="D19" i="7"/>
  <c r="F19" i="7" s="1"/>
  <c r="D18" i="7"/>
  <c r="F18" i="7" s="1"/>
  <c r="D17" i="7"/>
  <c r="F17" i="7" s="1"/>
  <c r="F16" i="7"/>
  <c r="D15" i="7"/>
  <c r="F15" i="7" s="1"/>
  <c r="D11" i="7"/>
  <c r="F11" i="7" s="1"/>
  <c r="F12" i="7" s="1"/>
  <c r="D53" i="6"/>
  <c r="F53" i="6" s="1"/>
  <c r="D54" i="6"/>
  <c r="F54" i="6" s="1"/>
  <c r="D74" i="6"/>
  <c r="F74" i="6" s="1"/>
  <c r="D86" i="6"/>
  <c r="F86" i="6" s="1"/>
  <c r="D47" i="6"/>
  <c r="F47" i="6" s="1"/>
  <c r="D46" i="6"/>
  <c r="F46" i="6" s="1"/>
  <c r="D63" i="5"/>
  <c r="F63" i="5" s="1"/>
  <c r="D64" i="1"/>
  <c r="D61" i="6"/>
  <c r="F61" i="6" s="1"/>
  <c r="D81" i="6"/>
  <c r="F81" i="6" s="1"/>
  <c r="D78" i="6"/>
  <c r="F78" i="6" s="1"/>
  <c r="D80" i="6"/>
  <c r="F80" i="6" s="1"/>
  <c r="D92" i="5"/>
  <c r="F92" i="5" s="1"/>
  <c r="D93" i="1"/>
  <c r="D87" i="6"/>
  <c r="F87" i="6" s="1"/>
  <c r="D37" i="6"/>
  <c r="F37" i="6" s="1"/>
  <c r="D32" i="6"/>
  <c r="F32" i="6" s="1"/>
  <c r="D85" i="6"/>
  <c r="F85" i="6" s="1"/>
  <c r="D10" i="5"/>
  <c r="F10" i="5" s="1"/>
  <c r="F11" i="5" s="1"/>
  <c r="D11" i="1"/>
  <c r="D11" i="6"/>
  <c r="F11" i="6" s="1"/>
  <c r="F12" i="6" s="1"/>
  <c r="D14" i="5"/>
  <c r="F14" i="5" s="1"/>
  <c r="D15" i="1"/>
  <c r="D15" i="6"/>
  <c r="F15" i="6" s="1"/>
  <c r="D48" i="6"/>
  <c r="F48" i="6" s="1"/>
  <c r="D49" i="5"/>
  <c r="F49" i="5" s="1"/>
  <c r="D50" i="1"/>
  <c r="D73" i="6"/>
  <c r="F73" i="6" s="1"/>
  <c r="D72" i="6"/>
  <c r="F72" i="6" s="1"/>
  <c r="D71" i="6"/>
  <c r="F71" i="6" s="1"/>
  <c r="D67" i="6"/>
  <c r="F67" i="6" s="1"/>
  <c r="D66" i="6"/>
  <c r="F66" i="6" s="1"/>
  <c r="D65" i="6"/>
  <c r="F65" i="6" s="1"/>
  <c r="D60" i="6"/>
  <c r="F60" i="6" s="1"/>
  <c r="D59" i="6"/>
  <c r="F59" i="6" s="1"/>
  <c r="D58" i="6"/>
  <c r="F58" i="6" s="1"/>
  <c r="D57" i="6"/>
  <c r="F57" i="6" s="1"/>
  <c r="D56" i="6"/>
  <c r="F56" i="6" s="1"/>
  <c r="D55" i="6"/>
  <c r="F55" i="6" s="1"/>
  <c r="D52" i="6"/>
  <c r="F52" i="6" s="1"/>
  <c r="D51" i="6"/>
  <c r="F51" i="6" s="1"/>
  <c r="D50" i="6"/>
  <c r="F50" i="6" s="1"/>
  <c r="D49" i="6"/>
  <c r="F49" i="6" s="1"/>
  <c r="D45" i="6"/>
  <c r="F45" i="6" s="1"/>
  <c r="F41" i="6"/>
  <c r="D38" i="6"/>
  <c r="F38" i="6" s="1"/>
  <c r="D36" i="6"/>
  <c r="F36" i="6" s="1"/>
  <c r="D31" i="6"/>
  <c r="F31" i="6" s="1"/>
  <c r="D30" i="6"/>
  <c r="F30" i="6" s="1"/>
  <c r="D29" i="6"/>
  <c r="F29" i="6" s="1"/>
  <c r="D28" i="6"/>
  <c r="F28" i="6" s="1"/>
  <c r="D24" i="6"/>
  <c r="F24" i="6" s="1"/>
  <c r="D22" i="6"/>
  <c r="F22" i="6" s="1"/>
  <c r="D21" i="6"/>
  <c r="F21" i="6" s="1"/>
  <c r="D20" i="6"/>
  <c r="F20" i="6" s="1"/>
  <c r="D19" i="6"/>
  <c r="F19" i="6" s="1"/>
  <c r="D18" i="6"/>
  <c r="F18" i="6" s="1"/>
  <c r="D17" i="6"/>
  <c r="F17" i="6" s="1"/>
  <c r="D16" i="6"/>
  <c r="F16" i="6" s="1"/>
  <c r="D87" i="1"/>
  <c r="D84" i="1"/>
  <c r="D80" i="1"/>
  <c r="D79" i="1"/>
  <c r="D62" i="1"/>
  <c r="D57" i="1"/>
  <c r="D56" i="1"/>
  <c r="D53" i="1"/>
  <c r="D51" i="1"/>
  <c r="D45" i="1"/>
  <c r="D91" i="5"/>
  <c r="F91" i="5" s="1"/>
  <c r="D90" i="5"/>
  <c r="F90" i="5" s="1"/>
  <c r="F86" i="5"/>
  <c r="D85" i="5"/>
  <c r="F85" i="5" s="1"/>
  <c r="F83" i="5"/>
  <c r="D79" i="5"/>
  <c r="F79" i="5" s="1"/>
  <c r="F78" i="5"/>
  <c r="D77" i="5"/>
  <c r="F77" i="5" s="1"/>
  <c r="F76" i="5"/>
  <c r="D72" i="5"/>
  <c r="F72" i="5" s="1"/>
  <c r="D71" i="5"/>
  <c r="F71" i="5" s="1"/>
  <c r="D70" i="5"/>
  <c r="F70" i="5" s="1"/>
  <c r="D68" i="5"/>
  <c r="F68" i="5" s="1"/>
  <c r="D67" i="5"/>
  <c r="F67" i="5" s="1"/>
  <c r="D62" i="5"/>
  <c r="F62" i="5" s="1"/>
  <c r="D61" i="5"/>
  <c r="F61" i="5" s="1"/>
  <c r="D60" i="5"/>
  <c r="F60" i="5" s="1"/>
  <c r="D59" i="5"/>
  <c r="F59" i="5" s="1"/>
  <c r="D58" i="5"/>
  <c r="F58" i="5" s="1"/>
  <c r="D57" i="5"/>
  <c r="F57" i="5" s="1"/>
  <c r="D56" i="5"/>
  <c r="F56" i="5" s="1"/>
  <c r="D55" i="5"/>
  <c r="F55" i="5" s="1"/>
  <c r="D54" i="5"/>
  <c r="F54" i="5" s="1"/>
  <c r="D53" i="5"/>
  <c r="F53" i="5" s="1"/>
  <c r="D52" i="5"/>
  <c r="F52" i="5" s="1"/>
  <c r="D51" i="5"/>
  <c r="F51" i="5" s="1"/>
  <c r="D50" i="5"/>
  <c r="F50" i="5" s="1"/>
  <c r="D48" i="5"/>
  <c r="F48" i="5" s="1"/>
  <c r="D47" i="5"/>
  <c r="F47" i="5" s="1"/>
  <c r="D46" i="5"/>
  <c r="F46" i="5" s="1"/>
  <c r="D45" i="5"/>
  <c r="F45" i="5" s="1"/>
  <c r="D44" i="5"/>
  <c r="F44" i="5" s="1"/>
  <c r="F40" i="5"/>
  <c r="D35" i="5"/>
  <c r="F35" i="5" s="1"/>
  <c r="D31" i="5"/>
  <c r="F31" i="5" s="1"/>
  <c r="D30" i="5"/>
  <c r="F30" i="5" s="1"/>
  <c r="E29" i="5"/>
  <c r="D29" i="5"/>
  <c r="D28" i="5"/>
  <c r="F28" i="5" s="1"/>
  <c r="D27" i="5"/>
  <c r="F27" i="5" s="1"/>
  <c r="D23" i="5"/>
  <c r="F23" i="5" s="1"/>
  <c r="D21" i="5"/>
  <c r="F21" i="5" s="1"/>
  <c r="D20" i="5"/>
  <c r="F20" i="5" s="1"/>
  <c r="D19" i="5"/>
  <c r="F19" i="5" s="1"/>
  <c r="D18" i="5"/>
  <c r="F18" i="5" s="1"/>
  <c r="D17" i="5"/>
  <c r="F17" i="5" s="1"/>
  <c r="D16" i="5"/>
  <c r="F16" i="5" s="1"/>
  <c r="F15" i="5"/>
  <c r="D86" i="1"/>
  <c r="F86" i="1" s="1"/>
  <c r="D24" i="1"/>
  <c r="F24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F16" i="1"/>
  <c r="F94" i="9" l="1"/>
  <c r="F93" i="5"/>
  <c r="T87" i="2"/>
  <c r="F30" i="4"/>
  <c r="X87" i="2"/>
  <c r="F29" i="4"/>
  <c r="O93" i="2"/>
  <c r="O94" i="2" s="1"/>
  <c r="P89" i="2"/>
  <c r="H89" i="2"/>
  <c r="X89" i="2"/>
  <c r="W93" i="2"/>
  <c r="W94" i="2" s="1"/>
  <c r="H87" i="2"/>
  <c r="Z88" i="2"/>
  <c r="T88" i="2" s="1"/>
  <c r="G92" i="2"/>
  <c r="G93" i="2" s="1"/>
  <c r="G94" i="2" s="1"/>
  <c r="U88" i="2"/>
  <c r="U92" i="2" s="1"/>
  <c r="D87" i="2"/>
  <c r="P87" i="2"/>
  <c r="D89" i="2"/>
  <c r="Y92" i="2"/>
  <c r="E92" i="2"/>
  <c r="Q92" i="2"/>
  <c r="I92" i="2"/>
  <c r="T89" i="2"/>
  <c r="H86" i="2"/>
  <c r="Z91" i="2"/>
  <c r="D91" i="2" s="1"/>
  <c r="L86" i="2"/>
  <c r="Z90" i="2"/>
  <c r="L90" i="2" s="1"/>
  <c r="L89" i="2"/>
  <c r="M90" i="2"/>
  <c r="M92" i="2" s="1"/>
  <c r="P86" i="2"/>
  <c r="D86" i="2"/>
  <c r="T86" i="2"/>
  <c r="F25" i="8"/>
  <c r="F25" i="7"/>
  <c r="F81" i="8"/>
  <c r="F74" i="8"/>
  <c r="F4" i="8"/>
  <c r="F33" i="9"/>
  <c r="F4" i="7"/>
  <c r="F76" i="4"/>
  <c r="F88" i="4"/>
  <c r="F82" i="4"/>
  <c r="F25" i="4"/>
  <c r="F63" i="4"/>
  <c r="F69" i="4"/>
  <c r="F65" i="8"/>
  <c r="F94" i="8"/>
  <c r="F33" i="8"/>
  <c r="F65" i="9"/>
  <c r="F81" i="9"/>
  <c r="F25" i="9"/>
  <c r="F74" i="9"/>
  <c r="F62" i="7"/>
  <c r="F75" i="7"/>
  <c r="F88" i="7"/>
  <c r="F33" i="7"/>
  <c r="F68" i="7"/>
  <c r="F75" i="6"/>
  <c r="F62" i="6"/>
  <c r="F68" i="6"/>
  <c r="F33" i="6"/>
  <c r="F88" i="6"/>
  <c r="F25" i="6"/>
  <c r="F4" i="6"/>
  <c r="F80" i="5"/>
  <c r="F29" i="5"/>
  <c r="F32" i="5" s="1"/>
  <c r="F24" i="5"/>
  <c r="F64" i="5"/>
  <c r="F73" i="5"/>
  <c r="F33" i="4" l="1"/>
  <c r="P88" i="2"/>
  <c r="Y93" i="2"/>
  <c r="Z92" i="2"/>
  <c r="D88" i="2"/>
  <c r="H88" i="2"/>
  <c r="L88" i="2"/>
  <c r="X88" i="2"/>
  <c r="I93" i="2"/>
  <c r="Z93" i="2"/>
  <c r="X90" i="2"/>
  <c r="T90" i="2"/>
  <c r="P90" i="2"/>
  <c r="D90" i="2"/>
  <c r="L91" i="2"/>
  <c r="T91" i="2"/>
  <c r="P91" i="2"/>
  <c r="X91" i="2"/>
  <c r="H91" i="2"/>
  <c r="Q93" i="2"/>
  <c r="H90" i="2"/>
  <c r="D92" i="1"/>
  <c r="D91" i="1"/>
  <c r="D78" i="1"/>
  <c r="D73" i="1"/>
  <c r="D72" i="1"/>
  <c r="D71" i="1"/>
  <c r="D69" i="1"/>
  <c r="D68" i="1"/>
  <c r="D63" i="1"/>
  <c r="D61" i="1"/>
  <c r="D60" i="1"/>
  <c r="D59" i="1"/>
  <c r="D58" i="1"/>
  <c r="D55" i="1"/>
  <c r="D54" i="1"/>
  <c r="D52" i="1"/>
  <c r="D49" i="1"/>
  <c r="D48" i="1"/>
  <c r="D47" i="1"/>
  <c r="D46" i="1"/>
  <c r="D36" i="1"/>
  <c r="D32" i="1"/>
  <c r="D31" i="1"/>
  <c r="D30" i="1"/>
  <c r="D29" i="1"/>
  <c r="D28" i="1"/>
  <c r="F4" i="1"/>
  <c r="D6" i="4" l="1"/>
  <c r="Z94" i="2"/>
  <c r="Z77" i="2"/>
  <c r="G79" i="2"/>
  <c r="S76" i="2"/>
  <c r="W76" i="2"/>
  <c r="S78" i="2"/>
  <c r="W78" i="2"/>
  <c r="V78" i="2"/>
  <c r="R78" i="2"/>
  <c r="N78" i="2"/>
  <c r="Q78" i="2" s="1"/>
  <c r="J78" i="2"/>
  <c r="M78" i="2" s="1"/>
  <c r="F78" i="2"/>
  <c r="I78" i="2" s="1"/>
  <c r="B78" i="2"/>
  <c r="E78" i="2" s="1"/>
  <c r="V77" i="2"/>
  <c r="Y77" i="2" s="1"/>
  <c r="R77" i="2"/>
  <c r="U77" i="2" s="1"/>
  <c r="N77" i="2"/>
  <c r="Q77" i="2" s="1"/>
  <c r="J77" i="2"/>
  <c r="M77" i="2" s="1"/>
  <c r="F77" i="2"/>
  <c r="I77" i="2" s="1"/>
  <c r="B77" i="2"/>
  <c r="E77" i="2" s="1"/>
  <c r="V76" i="2"/>
  <c r="R76" i="2"/>
  <c r="U76" i="2" s="1"/>
  <c r="N76" i="2"/>
  <c r="Q76" i="2" s="1"/>
  <c r="J76" i="2"/>
  <c r="M76" i="2" s="1"/>
  <c r="F76" i="2"/>
  <c r="I76" i="2" s="1"/>
  <c r="B76" i="2"/>
  <c r="E76" i="2" s="1"/>
  <c r="V75" i="2"/>
  <c r="Y75" i="2" s="1"/>
  <c r="R75" i="2"/>
  <c r="N75" i="2"/>
  <c r="J75" i="2"/>
  <c r="M75" i="2" s="1"/>
  <c r="F75" i="2"/>
  <c r="I75" i="2" s="1"/>
  <c r="B75" i="2"/>
  <c r="E75" i="2" s="1"/>
  <c r="V74" i="2"/>
  <c r="Y74" i="2" s="1"/>
  <c r="R74" i="2"/>
  <c r="N74" i="2"/>
  <c r="Q74" i="2" s="1"/>
  <c r="J74" i="2"/>
  <c r="F74" i="2"/>
  <c r="I74" i="2" s="1"/>
  <c r="B74" i="2"/>
  <c r="E74" i="2" s="1"/>
  <c r="V73" i="2"/>
  <c r="R73" i="2"/>
  <c r="N73" i="2"/>
  <c r="J73" i="2"/>
  <c r="F73" i="2"/>
  <c r="B73" i="2"/>
  <c r="Z60" i="2"/>
  <c r="K66" i="2"/>
  <c r="Z61" i="2"/>
  <c r="S63" i="2"/>
  <c r="W63" i="2"/>
  <c r="W65" i="2"/>
  <c r="C66" i="2"/>
  <c r="V65" i="2"/>
  <c r="S65" i="2"/>
  <c r="R65" i="2"/>
  <c r="O65" i="2"/>
  <c r="N65" i="2"/>
  <c r="J65" i="2"/>
  <c r="M65" i="2" s="1"/>
  <c r="F65" i="2"/>
  <c r="I65" i="2" s="1"/>
  <c r="B65" i="2"/>
  <c r="E65" i="2" s="1"/>
  <c r="Z64" i="2"/>
  <c r="V64" i="2"/>
  <c r="Y64" i="2" s="1"/>
  <c r="R64" i="2"/>
  <c r="U64" i="2" s="1"/>
  <c r="N64" i="2"/>
  <c r="Q64" i="2" s="1"/>
  <c r="J64" i="2"/>
  <c r="M64" i="2" s="1"/>
  <c r="F64" i="2"/>
  <c r="I64" i="2" s="1"/>
  <c r="B64" i="2"/>
  <c r="E64" i="2" s="1"/>
  <c r="V63" i="2"/>
  <c r="Y63" i="2" s="1"/>
  <c r="R63" i="2"/>
  <c r="N63" i="2"/>
  <c r="Q63" i="2" s="1"/>
  <c r="J63" i="2"/>
  <c r="M63" i="2" s="1"/>
  <c r="F63" i="2"/>
  <c r="I63" i="2" s="1"/>
  <c r="B63" i="2"/>
  <c r="E63" i="2" s="1"/>
  <c r="V62" i="2"/>
  <c r="Y62" i="2" s="1"/>
  <c r="R62" i="2"/>
  <c r="U62" i="2" s="1"/>
  <c r="N62" i="2"/>
  <c r="J62" i="2"/>
  <c r="M62" i="2" s="1"/>
  <c r="F62" i="2"/>
  <c r="I62" i="2" s="1"/>
  <c r="B62" i="2"/>
  <c r="E62" i="2" s="1"/>
  <c r="V61" i="2"/>
  <c r="Y61" i="2" s="1"/>
  <c r="R61" i="2"/>
  <c r="U61" i="2" s="1"/>
  <c r="N61" i="2"/>
  <c r="Q61" i="2" s="1"/>
  <c r="J61" i="2"/>
  <c r="M61" i="2" s="1"/>
  <c r="F61" i="2"/>
  <c r="I61" i="2" s="1"/>
  <c r="B61" i="2"/>
  <c r="E61" i="2" s="1"/>
  <c r="V60" i="2"/>
  <c r="Y60" i="2" s="1"/>
  <c r="R60" i="2"/>
  <c r="U60" i="2" s="1"/>
  <c r="N60" i="2"/>
  <c r="Q60" i="2" s="1"/>
  <c r="J60" i="2"/>
  <c r="M60" i="2" s="1"/>
  <c r="F60" i="2"/>
  <c r="I60" i="2" s="1"/>
  <c r="B60" i="2"/>
  <c r="E60" i="2" s="1"/>
  <c r="K51" i="2"/>
  <c r="S49" i="2"/>
  <c r="S51" i="2"/>
  <c r="W49" i="2"/>
  <c r="W51" i="2"/>
  <c r="C37" i="2"/>
  <c r="O36" i="2"/>
  <c r="S34" i="2"/>
  <c r="S36" i="2"/>
  <c r="W34" i="2"/>
  <c r="W36" i="2"/>
  <c r="AB22" i="2"/>
  <c r="AB21" i="2"/>
  <c r="AB20" i="2"/>
  <c r="AB19" i="2"/>
  <c r="AB18" i="2"/>
  <c r="AA74" i="2" s="1"/>
  <c r="AB17" i="2"/>
  <c r="AA46" i="2" s="1"/>
  <c r="V51" i="2"/>
  <c r="R51" i="2"/>
  <c r="N51" i="2"/>
  <c r="J51" i="2"/>
  <c r="F51" i="2"/>
  <c r="I51" i="2" s="1"/>
  <c r="B51" i="2"/>
  <c r="E51" i="2" s="1"/>
  <c r="V50" i="2"/>
  <c r="R50" i="2"/>
  <c r="U50" i="2" s="1"/>
  <c r="N50" i="2"/>
  <c r="Q50" i="2" s="1"/>
  <c r="J50" i="2"/>
  <c r="M50" i="2" s="1"/>
  <c r="F50" i="2"/>
  <c r="I50" i="2" s="1"/>
  <c r="B50" i="2"/>
  <c r="E50" i="2" s="1"/>
  <c r="V49" i="2"/>
  <c r="R49" i="2"/>
  <c r="N49" i="2"/>
  <c r="Q49" i="2" s="1"/>
  <c r="J49" i="2"/>
  <c r="M49" i="2" s="1"/>
  <c r="F49" i="2"/>
  <c r="I49" i="2" s="1"/>
  <c r="B49" i="2"/>
  <c r="V48" i="2"/>
  <c r="Y48" i="2" s="1"/>
  <c r="R48" i="2"/>
  <c r="U48" i="2" s="1"/>
  <c r="N48" i="2"/>
  <c r="J48" i="2"/>
  <c r="M48" i="2" s="1"/>
  <c r="F48" i="2"/>
  <c r="I48" i="2" s="1"/>
  <c r="B48" i="2"/>
  <c r="V47" i="2"/>
  <c r="R47" i="2"/>
  <c r="N47" i="2"/>
  <c r="Q47" i="2" s="1"/>
  <c r="M47" i="2"/>
  <c r="J47" i="2"/>
  <c r="F47" i="2"/>
  <c r="B47" i="2"/>
  <c r="V46" i="2"/>
  <c r="R46" i="2"/>
  <c r="N46" i="2"/>
  <c r="J46" i="2"/>
  <c r="F46" i="2"/>
  <c r="B46" i="2"/>
  <c r="G37" i="2"/>
  <c r="AB9" i="2"/>
  <c r="AB8" i="2"/>
  <c r="AB7" i="2"/>
  <c r="AB6" i="2"/>
  <c r="AB5" i="2"/>
  <c r="AB4" i="2"/>
  <c r="V36" i="2"/>
  <c r="R36" i="2"/>
  <c r="N36" i="2"/>
  <c r="J36" i="2"/>
  <c r="M36" i="2" s="1"/>
  <c r="F36" i="2"/>
  <c r="I36" i="2" s="1"/>
  <c r="B36" i="2"/>
  <c r="E36" i="2" s="1"/>
  <c r="V35" i="2"/>
  <c r="R35" i="2"/>
  <c r="N35" i="2"/>
  <c r="Q35" i="2" s="1"/>
  <c r="J35" i="2"/>
  <c r="M35" i="2" s="1"/>
  <c r="F35" i="2"/>
  <c r="I35" i="2" s="1"/>
  <c r="B35" i="2"/>
  <c r="E35" i="2" s="1"/>
  <c r="V34" i="2"/>
  <c r="R34" i="2"/>
  <c r="N34" i="2"/>
  <c r="Q34" i="2" s="1"/>
  <c r="J34" i="2"/>
  <c r="F34" i="2"/>
  <c r="I34" i="2" s="1"/>
  <c r="B34" i="2"/>
  <c r="E34" i="2" s="1"/>
  <c r="V33" i="2"/>
  <c r="R33" i="2"/>
  <c r="U33" i="2" s="1"/>
  <c r="N33" i="2"/>
  <c r="Q33" i="2" s="1"/>
  <c r="J33" i="2"/>
  <c r="F33" i="2"/>
  <c r="I33" i="2" s="1"/>
  <c r="B33" i="2"/>
  <c r="V32" i="2"/>
  <c r="Y32" i="2" s="1"/>
  <c r="R32" i="2"/>
  <c r="N32" i="2"/>
  <c r="J32" i="2"/>
  <c r="M32" i="2" s="1"/>
  <c r="F32" i="2"/>
  <c r="I32" i="2" s="1"/>
  <c r="B32" i="2"/>
  <c r="E32" i="2" s="1"/>
  <c r="V31" i="2"/>
  <c r="R31" i="2"/>
  <c r="N31" i="2"/>
  <c r="J31" i="2"/>
  <c r="F31" i="2"/>
  <c r="B31" i="2"/>
  <c r="E31" i="2" s="1"/>
  <c r="Z11" i="2"/>
  <c r="C22" i="2"/>
  <c r="K21" i="2"/>
  <c r="K23" i="2" s="1"/>
  <c r="G21" i="2"/>
  <c r="G23" i="2" s="1"/>
  <c r="C21" i="2"/>
  <c r="C20" i="2"/>
  <c r="Z20" i="2" s="1"/>
  <c r="T20" i="2" s="1"/>
  <c r="S19" i="2"/>
  <c r="Z18" i="2"/>
  <c r="X18" i="2" s="1"/>
  <c r="O23" i="2"/>
  <c r="AA23" i="2"/>
  <c r="W23" i="2"/>
  <c r="W10" i="2"/>
  <c r="S10" i="2"/>
  <c r="O10" i="2"/>
  <c r="K10" i="2"/>
  <c r="G10" i="2"/>
  <c r="C10" i="2"/>
  <c r="Z22" i="2"/>
  <c r="T22" i="2" s="1"/>
  <c r="V22" i="2"/>
  <c r="Y22" i="2" s="1"/>
  <c r="R22" i="2"/>
  <c r="U22" i="2" s="1"/>
  <c r="N22" i="2"/>
  <c r="Q22" i="2" s="1"/>
  <c r="J22" i="2"/>
  <c r="M22" i="2" s="1"/>
  <c r="F22" i="2"/>
  <c r="I22" i="2" s="1"/>
  <c r="B22" i="2"/>
  <c r="E22" i="2" s="1"/>
  <c r="V21" i="2"/>
  <c r="Y21" i="2" s="1"/>
  <c r="R21" i="2"/>
  <c r="U21" i="2" s="1"/>
  <c r="N21" i="2"/>
  <c r="Q21" i="2" s="1"/>
  <c r="J21" i="2"/>
  <c r="F21" i="2"/>
  <c r="B21" i="2"/>
  <c r="V20" i="2"/>
  <c r="Y20" i="2" s="1"/>
  <c r="R20" i="2"/>
  <c r="U20" i="2" s="1"/>
  <c r="N20" i="2"/>
  <c r="Q20" i="2" s="1"/>
  <c r="J20" i="2"/>
  <c r="F20" i="2"/>
  <c r="I20" i="2" s="1"/>
  <c r="B20" i="2"/>
  <c r="V19" i="2"/>
  <c r="Y19" i="2" s="1"/>
  <c r="R19" i="2"/>
  <c r="N19" i="2"/>
  <c r="Q19" i="2" s="1"/>
  <c r="J19" i="2"/>
  <c r="M19" i="2" s="1"/>
  <c r="F19" i="2"/>
  <c r="I19" i="2" s="1"/>
  <c r="B19" i="2"/>
  <c r="V18" i="2"/>
  <c r="Y18" i="2" s="1"/>
  <c r="R18" i="2"/>
  <c r="N18" i="2"/>
  <c r="Q18" i="2" s="1"/>
  <c r="J18" i="2"/>
  <c r="M18" i="2" s="1"/>
  <c r="F18" i="2"/>
  <c r="I18" i="2" s="1"/>
  <c r="B18" i="2"/>
  <c r="V17" i="2"/>
  <c r="Y17" i="2" s="1"/>
  <c r="R17" i="2"/>
  <c r="U17" i="2" s="1"/>
  <c r="N17" i="2"/>
  <c r="Q17" i="2" s="1"/>
  <c r="J17" i="2"/>
  <c r="M17" i="2" s="1"/>
  <c r="F17" i="2"/>
  <c r="I17" i="2" s="1"/>
  <c r="B17" i="2"/>
  <c r="E17" i="2" s="1"/>
  <c r="Z34" i="2" l="1"/>
  <c r="Z21" i="2"/>
  <c r="T21" i="2" s="1"/>
  <c r="Y51" i="2"/>
  <c r="U36" i="2"/>
  <c r="Z36" i="2"/>
  <c r="U78" i="2"/>
  <c r="Y49" i="2"/>
  <c r="Y76" i="2"/>
  <c r="S46" i="2"/>
  <c r="U46" i="2" s="1"/>
  <c r="W46" i="2"/>
  <c r="W52" i="2" s="1"/>
  <c r="C46" i="2"/>
  <c r="C52" i="2" s="1"/>
  <c r="K46" i="2"/>
  <c r="M46" i="2" s="1"/>
  <c r="O46" i="2"/>
  <c r="S37" i="2"/>
  <c r="U65" i="2"/>
  <c r="I21" i="2"/>
  <c r="I23" i="2" s="1"/>
  <c r="U34" i="2"/>
  <c r="Q23" i="2"/>
  <c r="M21" i="2"/>
  <c r="Y34" i="2"/>
  <c r="U51" i="2"/>
  <c r="Y36" i="2"/>
  <c r="AA73" i="2"/>
  <c r="E21" i="2"/>
  <c r="Y23" i="2"/>
  <c r="AA47" i="2"/>
  <c r="S47" i="2" s="1"/>
  <c r="Z47" i="2" s="1"/>
  <c r="U49" i="2"/>
  <c r="I73" i="2"/>
  <c r="I79" i="2" s="1"/>
  <c r="Z75" i="2"/>
  <c r="M74" i="2"/>
  <c r="Q75" i="2"/>
  <c r="U75" i="2"/>
  <c r="Z78" i="2"/>
  <c r="P78" i="2" s="1"/>
  <c r="Y78" i="2"/>
  <c r="Q73" i="2"/>
  <c r="O79" i="2"/>
  <c r="Z74" i="2"/>
  <c r="U74" i="2"/>
  <c r="Z76" i="2"/>
  <c r="E66" i="2"/>
  <c r="I66" i="2"/>
  <c r="G66" i="2"/>
  <c r="G67" i="2" s="1"/>
  <c r="G68" i="2" s="1"/>
  <c r="M66" i="2"/>
  <c r="Q62" i="2"/>
  <c r="Z62" i="2"/>
  <c r="Z65" i="2"/>
  <c r="Q65" i="2"/>
  <c r="Z63" i="2"/>
  <c r="W66" i="2"/>
  <c r="U63" i="2"/>
  <c r="Y65" i="2"/>
  <c r="Y66" i="2" s="1"/>
  <c r="O66" i="2"/>
  <c r="O67" i="2" s="1"/>
  <c r="O68" i="2" s="1"/>
  <c r="S66" i="2"/>
  <c r="E48" i="2"/>
  <c r="I46" i="2"/>
  <c r="M51" i="2"/>
  <c r="Q48" i="2"/>
  <c r="E33" i="2"/>
  <c r="E37" i="2" s="1"/>
  <c r="M33" i="2"/>
  <c r="M31" i="2"/>
  <c r="O37" i="2"/>
  <c r="Q32" i="2"/>
  <c r="Q36" i="2"/>
  <c r="E49" i="2"/>
  <c r="E47" i="2"/>
  <c r="I47" i="2"/>
  <c r="Z49" i="2"/>
  <c r="Q46" i="2"/>
  <c r="Z50" i="2"/>
  <c r="Y50" i="2"/>
  <c r="Y47" i="2"/>
  <c r="Z48" i="2"/>
  <c r="G52" i="2"/>
  <c r="G38" i="2"/>
  <c r="G39" i="2" s="1"/>
  <c r="I31" i="2"/>
  <c r="I37" i="2" s="1"/>
  <c r="M34" i="2"/>
  <c r="K37" i="2"/>
  <c r="Z32" i="2"/>
  <c r="Q31" i="2"/>
  <c r="U35" i="2"/>
  <c r="Z35" i="2"/>
  <c r="Z33" i="2"/>
  <c r="U32" i="2"/>
  <c r="U31" i="2"/>
  <c r="Y35" i="2"/>
  <c r="Y33" i="2"/>
  <c r="M20" i="2"/>
  <c r="M23" i="2" s="1"/>
  <c r="E20" i="2"/>
  <c r="U19" i="2"/>
  <c r="Z19" i="2"/>
  <c r="X19" i="2" s="1"/>
  <c r="E19" i="2"/>
  <c r="S23" i="2"/>
  <c r="W24" i="2" s="1"/>
  <c r="W25" i="2" s="1"/>
  <c r="U18" i="2"/>
  <c r="L18" i="2"/>
  <c r="H18" i="2"/>
  <c r="E18" i="2"/>
  <c r="C23" i="2"/>
  <c r="G24" i="2" s="1"/>
  <c r="G25" i="2" s="1"/>
  <c r="D18" i="2"/>
  <c r="Z17" i="2"/>
  <c r="T18" i="2"/>
  <c r="P18" i="2"/>
  <c r="H22" i="2"/>
  <c r="P22" i="2"/>
  <c r="X22" i="2"/>
  <c r="H20" i="2"/>
  <c r="P20" i="2"/>
  <c r="X20" i="2"/>
  <c r="D22" i="2"/>
  <c r="L22" i="2"/>
  <c r="L21" i="2"/>
  <c r="D20" i="2"/>
  <c r="L20" i="2"/>
  <c r="G11" i="2"/>
  <c r="G12" i="2" s="1"/>
  <c r="O24" i="2"/>
  <c r="O25" i="2" s="1"/>
  <c r="W11" i="2"/>
  <c r="W12" i="2" s="1"/>
  <c r="O11" i="2"/>
  <c r="O12" i="2" s="1"/>
  <c r="X21" i="2" l="1"/>
  <c r="D21" i="2"/>
  <c r="H21" i="2"/>
  <c r="P21" i="2"/>
  <c r="S52" i="2"/>
  <c r="W53" i="2" s="1"/>
  <c r="W54" i="2" s="1"/>
  <c r="W67" i="2"/>
  <c r="W68" i="2" s="1"/>
  <c r="Y46" i="2"/>
  <c r="Y52" i="2" s="1"/>
  <c r="Z46" i="2"/>
  <c r="M52" i="2"/>
  <c r="U66" i="2"/>
  <c r="Y67" i="2" s="1"/>
  <c r="U23" i="2"/>
  <c r="Y24" i="2" s="1"/>
  <c r="P17" i="2"/>
  <c r="Z24" i="2"/>
  <c r="U47" i="2"/>
  <c r="U52" i="2" s="1"/>
  <c r="G53" i="2"/>
  <c r="G54" i="2" s="1"/>
  <c r="K52" i="2"/>
  <c r="E46" i="2"/>
  <c r="E52" i="2" s="1"/>
  <c r="Q79" i="2"/>
  <c r="Y73" i="2"/>
  <c r="Y79" i="2" s="1"/>
  <c r="W79" i="2"/>
  <c r="U73" i="2"/>
  <c r="U79" i="2" s="1"/>
  <c r="S79" i="2"/>
  <c r="K79" i="2"/>
  <c r="O80" i="2" s="1"/>
  <c r="O81" i="2" s="1"/>
  <c r="M73" i="2"/>
  <c r="M79" i="2" s="1"/>
  <c r="Z73" i="2"/>
  <c r="C79" i="2"/>
  <c r="G80" i="2" s="1"/>
  <c r="G81" i="2" s="1"/>
  <c r="E73" i="2"/>
  <c r="E79" i="2" s="1"/>
  <c r="I80" i="2" s="1"/>
  <c r="I67" i="2"/>
  <c r="Q66" i="2"/>
  <c r="Q67" i="2" s="1"/>
  <c r="I52" i="2"/>
  <c r="M37" i="2"/>
  <c r="Q37" i="2"/>
  <c r="O38" i="2"/>
  <c r="O39" i="2" s="1"/>
  <c r="I38" i="2"/>
  <c r="U37" i="2"/>
  <c r="E23" i="2"/>
  <c r="H17" i="2"/>
  <c r="D19" i="2"/>
  <c r="L19" i="2"/>
  <c r="T19" i="2"/>
  <c r="P19" i="2"/>
  <c r="H19" i="2"/>
  <c r="X17" i="2"/>
  <c r="L17" i="2"/>
  <c r="D17" i="2"/>
  <c r="T17" i="2"/>
  <c r="Q24" i="2"/>
  <c r="Z23" i="2" l="1"/>
  <c r="D5" i="5" s="1"/>
  <c r="D84" i="5" s="1"/>
  <c r="F84" i="5" s="1"/>
  <c r="D41" i="4"/>
  <c r="F41" i="4" s="1"/>
  <c r="F43" i="4" s="1"/>
  <c r="D90" i="4" s="1"/>
  <c r="F6" i="4"/>
  <c r="F7" i="4"/>
  <c r="Q80" i="2"/>
  <c r="Z79" i="2"/>
  <c r="D5" i="9" s="1"/>
  <c r="Y80" i="2"/>
  <c r="W80" i="2"/>
  <c r="W81" i="2" s="1"/>
  <c r="Z66" i="2"/>
  <c r="D5" i="8" s="1"/>
  <c r="I53" i="2"/>
  <c r="Q38" i="2"/>
  <c r="Y53" i="2"/>
  <c r="I24" i="2"/>
  <c r="F41" i="5" l="1"/>
  <c r="F87" i="5"/>
  <c r="D6" i="5"/>
  <c r="D91" i="4"/>
  <c r="D85" i="9"/>
  <c r="F85" i="9" s="1"/>
  <c r="F6" i="9"/>
  <c r="F5" i="9"/>
  <c r="D85" i="8"/>
  <c r="F85" i="8" s="1"/>
  <c r="F5" i="8"/>
  <c r="F6" i="8"/>
  <c r="F36" i="1"/>
  <c r="F42" i="9" l="1"/>
  <c r="F88" i="9"/>
  <c r="F42" i="8"/>
  <c r="F88" i="8"/>
  <c r="D95" i="5"/>
  <c r="D96" i="5" s="1"/>
  <c r="Z9" i="2"/>
  <c r="V9" i="2"/>
  <c r="Y9" i="2" s="1"/>
  <c r="R9" i="2"/>
  <c r="U9" i="2" s="1"/>
  <c r="N9" i="2"/>
  <c r="Q9" i="2" s="1"/>
  <c r="J9" i="2"/>
  <c r="M9" i="2" s="1"/>
  <c r="F9" i="2"/>
  <c r="I9" i="2" s="1"/>
  <c r="B9" i="2"/>
  <c r="E9" i="2" s="1"/>
  <c r="Z8" i="2"/>
  <c r="V8" i="2"/>
  <c r="Y8" i="2" s="1"/>
  <c r="R8" i="2"/>
  <c r="U8" i="2" s="1"/>
  <c r="N8" i="2"/>
  <c r="Q8" i="2" s="1"/>
  <c r="J8" i="2"/>
  <c r="M8" i="2" s="1"/>
  <c r="F8" i="2"/>
  <c r="I8" i="2" s="1"/>
  <c r="B8" i="2"/>
  <c r="E8" i="2" s="1"/>
  <c r="Z7" i="2"/>
  <c r="V7" i="2"/>
  <c r="Y7" i="2" s="1"/>
  <c r="R7" i="2"/>
  <c r="U7" i="2" s="1"/>
  <c r="N7" i="2"/>
  <c r="Q7" i="2" s="1"/>
  <c r="J7" i="2"/>
  <c r="M7" i="2" s="1"/>
  <c r="F7" i="2"/>
  <c r="I7" i="2" s="1"/>
  <c r="B7" i="2"/>
  <c r="E7" i="2" s="1"/>
  <c r="Z6" i="2"/>
  <c r="V6" i="2"/>
  <c r="Y6" i="2" s="1"/>
  <c r="R6" i="2"/>
  <c r="U6" i="2" s="1"/>
  <c r="N6" i="2"/>
  <c r="Q6" i="2" s="1"/>
  <c r="J6" i="2"/>
  <c r="M6" i="2" s="1"/>
  <c r="F6" i="2"/>
  <c r="I6" i="2" s="1"/>
  <c r="B6" i="2"/>
  <c r="E6" i="2" s="1"/>
  <c r="Z5" i="2"/>
  <c r="V5" i="2"/>
  <c r="Y5" i="2" s="1"/>
  <c r="R5" i="2"/>
  <c r="U5" i="2" s="1"/>
  <c r="N5" i="2"/>
  <c r="Q5" i="2" s="1"/>
  <c r="J5" i="2"/>
  <c r="M5" i="2" s="1"/>
  <c r="F5" i="2"/>
  <c r="I5" i="2" s="1"/>
  <c r="B5" i="2"/>
  <c r="E5" i="2" s="1"/>
  <c r="Z4" i="2"/>
  <c r="V4" i="2"/>
  <c r="Y4" i="2" s="1"/>
  <c r="R4" i="2"/>
  <c r="U4" i="2" s="1"/>
  <c r="N4" i="2"/>
  <c r="Q4" i="2" s="1"/>
  <c r="J4" i="2"/>
  <c r="M4" i="2" s="1"/>
  <c r="F4" i="2"/>
  <c r="I4" i="2" s="1"/>
  <c r="B4" i="2"/>
  <c r="E4" i="2" s="1"/>
  <c r="F93" i="1"/>
  <c r="F92" i="1"/>
  <c r="F91" i="1"/>
  <c r="F87" i="1"/>
  <c r="F84" i="1"/>
  <c r="F80" i="1"/>
  <c r="F79" i="1"/>
  <c r="F78" i="1"/>
  <c r="F77" i="1"/>
  <c r="F73" i="1"/>
  <c r="F72" i="1"/>
  <c r="F71" i="1"/>
  <c r="F69" i="1"/>
  <c r="F68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1" i="1"/>
  <c r="F32" i="1"/>
  <c r="F31" i="1"/>
  <c r="E30" i="1"/>
  <c r="F30" i="1" s="1"/>
  <c r="F29" i="1"/>
  <c r="F28" i="1"/>
  <c r="F15" i="1"/>
  <c r="F25" i="1" s="1"/>
  <c r="F11" i="1"/>
  <c r="F12" i="1" s="1"/>
  <c r="D96" i="9" l="1"/>
  <c r="D97" i="9" s="1"/>
  <c r="D96" i="8"/>
  <c r="D97" i="8" s="1"/>
  <c r="L4" i="2"/>
  <c r="D4" i="2"/>
  <c r="H4" i="2"/>
  <c r="T4" i="2"/>
  <c r="P4" i="2"/>
  <c r="X4" i="2"/>
  <c r="T6" i="2"/>
  <c r="X6" i="2"/>
  <c r="L6" i="2"/>
  <c r="D6" i="2"/>
  <c r="P6" i="2"/>
  <c r="H6" i="2"/>
  <c r="L7" i="2"/>
  <c r="P7" i="2"/>
  <c r="T7" i="2"/>
  <c r="X7" i="2"/>
  <c r="D7" i="2"/>
  <c r="H7" i="2"/>
  <c r="T8" i="2"/>
  <c r="X8" i="2"/>
  <c r="L8" i="2"/>
  <c r="D8" i="2"/>
  <c r="H8" i="2"/>
  <c r="P8" i="2"/>
  <c r="X5" i="2"/>
  <c r="L5" i="2"/>
  <c r="H5" i="2"/>
  <c r="P5" i="2"/>
  <c r="T5" i="2"/>
  <c r="D5" i="2"/>
  <c r="H9" i="2"/>
  <c r="T9" i="2"/>
  <c r="X9" i="2"/>
  <c r="P9" i="2"/>
  <c r="D9" i="2"/>
  <c r="L9" i="2"/>
  <c r="M10" i="2"/>
  <c r="E10" i="2"/>
  <c r="I10" i="2"/>
  <c r="F81" i="1"/>
  <c r="Q10" i="2"/>
  <c r="U10" i="2"/>
  <c r="Y10" i="2"/>
  <c r="F94" i="1"/>
  <c r="F33" i="1"/>
  <c r="F65" i="1"/>
  <c r="F74" i="1"/>
  <c r="Y11" i="2" l="1"/>
  <c r="Z10" i="2"/>
  <c r="D5" i="1" s="1"/>
  <c r="Q11" i="2"/>
  <c r="I11" i="2"/>
  <c r="D85" i="1" l="1"/>
  <c r="F85" i="1" s="1"/>
  <c r="F5" i="1"/>
  <c r="F6" i="1"/>
  <c r="F42" i="1" l="1"/>
  <c r="D96" i="1" s="1"/>
  <c r="D97" i="1" s="1"/>
  <c r="F88" i="1"/>
  <c r="Y31" i="2"/>
  <c r="Y37" i="2" s="1"/>
  <c r="Y38" i="2" s="1"/>
  <c r="Z31" i="2"/>
  <c r="W37" i="2"/>
  <c r="W38" i="2" s="1"/>
  <c r="W39" i="2" s="1"/>
  <c r="Z37" i="2" l="1"/>
  <c r="D5" i="6" s="1"/>
  <c r="Q51" i="2"/>
  <c r="Q52" i="2" s="1"/>
  <c r="O52" i="2"/>
  <c r="O53" i="2" s="1"/>
  <c r="O54" i="2" s="1"/>
  <c r="Z51" i="2"/>
  <c r="P51" i="2" s="1"/>
  <c r="D79" i="6" l="1"/>
  <c r="F79" i="6" s="1"/>
  <c r="F6" i="6"/>
  <c r="F5" i="6"/>
  <c r="Z52" i="2"/>
  <c r="D5" i="7" s="1"/>
  <c r="Q53" i="2"/>
  <c r="F42" i="6" l="1"/>
  <c r="F82" i="6"/>
  <c r="D79" i="7"/>
  <c r="F79" i="7" s="1"/>
  <c r="F5" i="7"/>
  <c r="F6" i="7"/>
  <c r="F42" i="7" l="1"/>
  <c r="F82" i="7"/>
  <c r="D90" i="6"/>
  <c r="D91" i="6" s="1"/>
  <c r="D90" i="7" l="1"/>
  <c r="D91" i="7" s="1"/>
</calcChain>
</file>

<file path=xl/sharedStrings.xml><?xml version="1.0" encoding="utf-8"?>
<sst xmlns="http://schemas.openxmlformats.org/spreadsheetml/2006/main" count="1868" uniqueCount="219">
  <si>
    <t>小計</t>
    <phoneticPr fontId="4" type="noConversion"/>
  </si>
  <si>
    <t>1-1</t>
    <phoneticPr fontId="4" type="noConversion"/>
  </si>
  <si>
    <t>小計</t>
    <phoneticPr fontId="6" type="noConversion"/>
  </si>
  <si>
    <t>2-1</t>
    <phoneticPr fontId="3" type="noConversion"/>
  </si>
  <si>
    <t>3-1</t>
    <phoneticPr fontId="6" type="noConversion"/>
  </si>
  <si>
    <t>3-2</t>
    <phoneticPr fontId="4" type="noConversion"/>
  </si>
  <si>
    <t>3-3</t>
    <phoneticPr fontId="4" type="noConversion"/>
  </si>
  <si>
    <t>3-4</t>
  </si>
  <si>
    <t>Opening Standing Buffet</t>
    <phoneticPr fontId="6" type="noConversion"/>
  </si>
  <si>
    <t>3-5</t>
  </si>
  <si>
    <t>4-2</t>
    <phoneticPr fontId="4" type="noConversion"/>
  </si>
  <si>
    <t>4-5</t>
  </si>
  <si>
    <t>5-3</t>
  </si>
  <si>
    <t>5-4</t>
  </si>
  <si>
    <t>5-5</t>
  </si>
  <si>
    <t>5-6</t>
  </si>
  <si>
    <t>5-7</t>
  </si>
  <si>
    <t>5-8</t>
  </si>
  <si>
    <t>5-9</t>
  </si>
  <si>
    <t>6-1</t>
    <phoneticPr fontId="4" type="noConversion"/>
  </si>
  <si>
    <t>6-3</t>
  </si>
  <si>
    <t>6-4</t>
  </si>
  <si>
    <t>6-5</t>
  </si>
  <si>
    <t>7-3</t>
  </si>
  <si>
    <t>7-4</t>
  </si>
  <si>
    <t>8-1</t>
    <phoneticPr fontId="6" type="noConversion"/>
  </si>
  <si>
    <t>Opeing Ceremony &amp; Banquet</t>
    <phoneticPr fontId="6" type="noConversion"/>
  </si>
  <si>
    <t>9-1</t>
    <phoneticPr fontId="6" type="noConversion"/>
  </si>
  <si>
    <t>9-2</t>
  </si>
  <si>
    <t>Early Bird</t>
    <phoneticPr fontId="3" type="noConversion"/>
  </si>
  <si>
    <t>Regular</t>
    <phoneticPr fontId="3" type="noConversion"/>
  </si>
  <si>
    <t>Onsite</t>
    <phoneticPr fontId="3" type="noConversion"/>
  </si>
  <si>
    <t>Categories</t>
  </si>
  <si>
    <t>Member</t>
  </si>
  <si>
    <t>Non-Member</t>
  </si>
  <si>
    <t>High Income</t>
  </si>
  <si>
    <t>Upper Middle Income</t>
  </si>
  <si>
    <t>Lower Middle Income</t>
  </si>
  <si>
    <t>Low Income</t>
    <phoneticPr fontId="3" type="noConversion"/>
  </si>
  <si>
    <t>Student / Fellow / Resident / Nurse / AHP</t>
    <phoneticPr fontId="3" type="noConversion"/>
  </si>
  <si>
    <t>Accompanying Person</t>
  </si>
  <si>
    <t>Total</t>
    <phoneticPr fontId="3" type="noConversion"/>
  </si>
  <si>
    <t>4-3</t>
  </si>
  <si>
    <t>4-4</t>
  </si>
  <si>
    <t>Bursaries</t>
    <phoneticPr fontId="3" type="noConversion"/>
  </si>
  <si>
    <t>ICNC 2026 Budget</t>
    <phoneticPr fontId="4" type="noConversion"/>
  </si>
  <si>
    <t>No.</t>
    <phoneticPr fontId="6" type="noConversion"/>
  </si>
  <si>
    <t>Item</t>
    <phoneticPr fontId="6" type="noConversion"/>
  </si>
  <si>
    <t>Description</t>
    <phoneticPr fontId="6" type="noConversion"/>
  </si>
  <si>
    <t>Price (USD)</t>
    <phoneticPr fontId="6" type="noConversion"/>
  </si>
  <si>
    <t>Quantity</t>
    <phoneticPr fontId="6" type="noConversion"/>
  </si>
  <si>
    <t>Amount (USD)</t>
    <phoneticPr fontId="6" type="noConversion"/>
  </si>
  <si>
    <t>USD 25,000</t>
    <phoneticPr fontId="3" type="noConversion"/>
  </si>
  <si>
    <t>Sponsorship</t>
    <phoneticPr fontId="4" type="noConversion"/>
  </si>
  <si>
    <t>Registration Fee</t>
    <phoneticPr fontId="3" type="noConversion"/>
  </si>
  <si>
    <t>Conference Venue Rental</t>
    <phoneticPr fontId="4" type="noConversion"/>
  </si>
  <si>
    <t>Revenue</t>
    <phoneticPr fontId="4" type="noConversion"/>
  </si>
  <si>
    <t>Expense</t>
    <phoneticPr fontId="4" type="noConversion"/>
  </si>
  <si>
    <t>Audio-Visual &amp; Equipment Rental</t>
    <phoneticPr fontId="4" type="noConversion"/>
  </si>
  <si>
    <t>Breakfast</t>
    <phoneticPr fontId="4" type="noConversion"/>
  </si>
  <si>
    <t>Lunch</t>
    <phoneticPr fontId="4" type="noConversion"/>
  </si>
  <si>
    <t>Coffee Break</t>
    <phoneticPr fontId="4" type="noConversion"/>
  </si>
  <si>
    <t>Banquet</t>
    <phoneticPr fontId="4" type="noConversion"/>
  </si>
  <si>
    <t>200 servings each day, total 5 days</t>
    <phoneticPr fontId="4" type="noConversion"/>
  </si>
  <si>
    <t>800 servings each day, total 4 days</t>
    <phoneticPr fontId="4" type="noConversion"/>
  </si>
  <si>
    <t>600 servings for previous 6 breaks, 500 servings for the last break</t>
    <phoneticPr fontId="4" type="noConversion"/>
  </si>
  <si>
    <t>Banquet Hall, TICC</t>
    <phoneticPr fontId="6" type="noConversion"/>
  </si>
  <si>
    <t>Grand Hyatt, Table dishes</t>
    <phoneticPr fontId="4" type="noConversion"/>
  </si>
  <si>
    <t xml:space="preserve">Airfare </t>
    <phoneticPr fontId="4" type="noConversion"/>
  </si>
  <si>
    <t>Handling Fee of Credit Card Payment</t>
    <phoneticPr fontId="3" type="noConversion"/>
  </si>
  <si>
    <t>1. Venue</t>
    <phoneticPr fontId="4" type="noConversion"/>
  </si>
  <si>
    <t>2. Equipment</t>
    <phoneticPr fontId="4" type="noConversion"/>
  </si>
  <si>
    <t>3. Catering</t>
    <phoneticPr fontId="6" type="noConversion"/>
  </si>
  <si>
    <t>4. Honorarium, Accommodation, Bursaries</t>
    <phoneticPr fontId="6" type="noConversion"/>
  </si>
  <si>
    <t>4-1</t>
    <phoneticPr fontId="4" type="noConversion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</si>
  <si>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</si>
  <si>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</si>
  <si>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</si>
  <si>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</si>
  <si>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</si>
  <si>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</si>
  <si>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</si>
  <si>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</si>
  <si>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</si>
  <si>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Laptops</t>
    <phoneticPr fontId="4" type="noConversion"/>
  </si>
  <si>
    <t>Video Recording</t>
    <phoneticPr fontId="3" type="noConversion"/>
  </si>
  <si>
    <t>2 for each room</t>
    <phoneticPr fontId="4" type="noConversion"/>
  </si>
  <si>
    <t>Photocopier</t>
    <phoneticPr fontId="4" type="noConversion"/>
  </si>
  <si>
    <t>Equipments rental</t>
    <phoneticPr fontId="4" type="noConversion"/>
  </si>
  <si>
    <t>Registration management system</t>
    <phoneticPr fontId="4" type="noConversion"/>
  </si>
  <si>
    <t>Onsite engineering, 2 people, total 5 days</t>
    <phoneticPr fontId="4" type="noConversion"/>
  </si>
  <si>
    <t xml:space="preserve">Onsite Registration System </t>
    <phoneticPr fontId="4" type="noConversion"/>
  </si>
  <si>
    <t xml:space="preserve">Barcode Sending System </t>
    <phoneticPr fontId="4" type="noConversion"/>
  </si>
  <si>
    <t>Customized barcode for each participant</t>
    <phoneticPr fontId="4" type="noConversion"/>
  </si>
  <si>
    <t>Pointer</t>
    <phoneticPr fontId="4" type="noConversion"/>
  </si>
  <si>
    <t>1 for each room, backup*2</t>
    <phoneticPr fontId="4" type="noConversion"/>
  </si>
  <si>
    <t>5. Signage &amp; Decoration</t>
    <phoneticPr fontId="6" type="noConversion"/>
  </si>
  <si>
    <t>Program Board and Floor Plan</t>
    <phoneticPr fontId="4" type="noConversion"/>
  </si>
  <si>
    <t>Banner Stand at Entrance</t>
    <phoneticPr fontId="4" type="noConversion"/>
  </si>
  <si>
    <t>Banner Stand at Marble Wall</t>
    <phoneticPr fontId="4" type="noConversion"/>
  </si>
  <si>
    <t>Hanging Banner at Lobby</t>
    <phoneticPr fontId="4" type="noConversion"/>
  </si>
  <si>
    <t xml:space="preserve">Hanging Banner at Escalator </t>
    <phoneticPr fontId="6" type="noConversion"/>
  </si>
  <si>
    <t>Main Conference Banner</t>
    <phoneticPr fontId="4" type="noConversion"/>
  </si>
  <si>
    <t>Regitration Counter</t>
    <phoneticPr fontId="4" type="noConversion"/>
  </si>
  <si>
    <t>VIP*1, Onsite &amp; Information*1, Pre-registration*2, TCNS*1</t>
    <phoneticPr fontId="4" type="noConversion"/>
  </si>
  <si>
    <t>Podium Poster</t>
    <phoneticPr fontId="6" type="noConversion"/>
  </si>
  <si>
    <t>Parallel Meeting Rooms Banner</t>
    <phoneticPr fontId="6" type="noConversion"/>
  </si>
  <si>
    <t>Directionals</t>
    <phoneticPr fontId="6" type="noConversion"/>
  </si>
  <si>
    <t>Session Program Board</t>
    <phoneticPr fontId="6" type="noConversion"/>
  </si>
  <si>
    <t>Opening Ceremony and standing buffet</t>
    <phoneticPr fontId="6" type="noConversion"/>
  </si>
  <si>
    <t xml:space="preserve">Banquet board </t>
    <phoneticPr fontId="4" type="noConversion"/>
  </si>
  <si>
    <t>Poster Board</t>
    <phoneticPr fontId="4" type="noConversion"/>
  </si>
  <si>
    <t>200 poster board</t>
    <phoneticPr fontId="4" type="noConversion"/>
  </si>
  <si>
    <t>Session number sticker</t>
    <phoneticPr fontId="4" type="noConversion"/>
  </si>
  <si>
    <t>Spotlight</t>
    <phoneticPr fontId="4" type="noConversion"/>
  </si>
  <si>
    <t>Exhibition Booth</t>
    <phoneticPr fontId="6" type="noConversion"/>
  </si>
  <si>
    <t>3*2M for each one</t>
    <phoneticPr fontId="4" type="noConversion"/>
  </si>
  <si>
    <t>Floral Arrangement</t>
    <phoneticPr fontId="4" type="noConversion"/>
  </si>
  <si>
    <t>Electricity Distribution fee</t>
    <phoneticPr fontId="6" type="noConversion"/>
  </si>
  <si>
    <t>Construction Cost</t>
    <phoneticPr fontId="4" type="noConversion"/>
  </si>
  <si>
    <t>Badge</t>
    <phoneticPr fontId="6" type="noConversion"/>
  </si>
  <si>
    <t>Logo printing on lanyard is included</t>
    <phoneticPr fontId="4" type="noConversion"/>
  </si>
  <si>
    <t>Conference Bag</t>
    <phoneticPr fontId="4" type="noConversion"/>
  </si>
  <si>
    <t>Name Tent</t>
    <phoneticPr fontId="4" type="noConversion"/>
  </si>
  <si>
    <t>Acrylic board is included</t>
    <phoneticPr fontId="4" type="noConversion"/>
  </si>
  <si>
    <t>Promotion DM</t>
    <phoneticPr fontId="6" type="noConversion"/>
  </si>
  <si>
    <t>Promotion Gift</t>
    <phoneticPr fontId="4" type="noConversion"/>
  </si>
  <si>
    <t>7-2</t>
  </si>
  <si>
    <t>Onsite Staff</t>
    <phoneticPr fontId="6" type="noConversion"/>
  </si>
  <si>
    <t>Photographer</t>
    <phoneticPr fontId="6" type="noConversion"/>
  </si>
  <si>
    <t>2 people</t>
    <phoneticPr fontId="4" type="noConversion"/>
  </si>
  <si>
    <t>Performance</t>
    <phoneticPr fontId="6" type="noConversion"/>
  </si>
  <si>
    <t>Master of Ceremonies</t>
    <phoneticPr fontId="6" type="noConversion"/>
  </si>
  <si>
    <t>Insurance</t>
    <phoneticPr fontId="6" type="noConversion"/>
  </si>
  <si>
    <t>Public Liability Insurance</t>
    <phoneticPr fontId="4" type="noConversion"/>
  </si>
  <si>
    <t xml:space="preserve">Miscellaneous </t>
    <phoneticPr fontId="6" type="noConversion"/>
  </si>
  <si>
    <t>PCO in Taiwan</t>
    <phoneticPr fontId="4" type="noConversion"/>
  </si>
  <si>
    <t>9-3</t>
  </si>
  <si>
    <t>Official Website</t>
    <phoneticPr fontId="6" type="noConversion"/>
  </si>
  <si>
    <t>Establishment and Maintenance</t>
    <phoneticPr fontId="4" type="noConversion"/>
  </si>
  <si>
    <t>Registration and Payment System</t>
    <phoneticPr fontId="6" type="noConversion"/>
  </si>
  <si>
    <t>Paper submission site is included</t>
    <phoneticPr fontId="6" type="noConversion"/>
  </si>
  <si>
    <t>Website Space Rental</t>
    <phoneticPr fontId="4" type="noConversion"/>
  </si>
  <si>
    <t>2 years</t>
    <phoneticPr fontId="4" type="noConversion"/>
  </si>
  <si>
    <t>5-1</t>
    <phoneticPr fontId="4" type="noConversion"/>
  </si>
  <si>
    <t>5-2</t>
    <phoneticPr fontId="4" type="noConversion"/>
  </si>
  <si>
    <t>5-10</t>
  </si>
  <si>
    <t>5-11</t>
  </si>
  <si>
    <t>5-12</t>
  </si>
  <si>
    <t>5-13</t>
  </si>
  <si>
    <t>5-14</t>
  </si>
  <si>
    <t>5-15</t>
  </si>
  <si>
    <t>5-16</t>
  </si>
  <si>
    <t>5-17</t>
  </si>
  <si>
    <t>5-18</t>
  </si>
  <si>
    <t>5-19</t>
  </si>
  <si>
    <t>5-20</t>
  </si>
  <si>
    <t>6. Conference Kits and Promotion DM</t>
    <phoneticPr fontId="6" type="noConversion"/>
  </si>
  <si>
    <t>6-2</t>
  </si>
  <si>
    <t>7. Onsite Staff &amp; Professionals</t>
    <phoneticPr fontId="6" type="noConversion"/>
  </si>
  <si>
    <t>7-1</t>
    <phoneticPr fontId="6" type="noConversion"/>
  </si>
  <si>
    <t>8. Administrative Services</t>
    <phoneticPr fontId="6" type="noConversion"/>
  </si>
  <si>
    <t>8-2</t>
  </si>
  <si>
    <t>8-3</t>
  </si>
  <si>
    <t>9. Official Website and Registration/Payment System</t>
    <phoneticPr fontId="6" type="noConversion"/>
  </si>
  <si>
    <t>Subtotal</t>
    <phoneticPr fontId="6" type="noConversion"/>
  </si>
  <si>
    <t>Total</t>
    <phoneticPr fontId="4" type="noConversion"/>
  </si>
  <si>
    <t>Total Expense</t>
    <phoneticPr fontId="6" type="noConversion"/>
  </si>
  <si>
    <t>Surplus</t>
    <phoneticPr fontId="4" type="noConversion"/>
  </si>
  <si>
    <t>140 servings each day, total 5 days</t>
    <phoneticPr fontId="4" type="noConversion"/>
  </si>
  <si>
    <t>560 servings each day, total 4 days</t>
    <phoneticPr fontId="4" type="noConversion"/>
  </si>
  <si>
    <t>420 servings for previous 6 breaks, 350 servings for the last break</t>
    <phoneticPr fontId="4" type="noConversion"/>
  </si>
  <si>
    <t>Conference venue expense</t>
    <phoneticPr fontId="3" type="noConversion"/>
  </si>
  <si>
    <t>6. Conference Kits and Promotion</t>
    <phoneticPr fontId="6" type="noConversion"/>
  </si>
  <si>
    <t>Registration Counter</t>
    <phoneticPr fontId="4" type="noConversion"/>
  </si>
  <si>
    <t>140 poster board</t>
    <phoneticPr fontId="4" type="noConversion"/>
  </si>
  <si>
    <t>1 for each room</t>
    <phoneticPr fontId="4" type="noConversion"/>
  </si>
  <si>
    <t>300 servings each day, total 5 days</t>
    <phoneticPr fontId="4" type="noConversion"/>
  </si>
  <si>
    <t>1200 servings each day, total 4 days</t>
    <phoneticPr fontId="4" type="noConversion"/>
  </si>
  <si>
    <t>900 servings for previous 6 breaks, 750 servings for the last break</t>
    <phoneticPr fontId="4" type="noConversion"/>
  </si>
  <si>
    <t>250 poster board</t>
    <phoneticPr fontId="4" type="noConversion"/>
  </si>
  <si>
    <t>100 servings each day, total 5 days</t>
    <phoneticPr fontId="4" type="noConversion"/>
  </si>
  <si>
    <t>200 servings for previous 6 breaks, 150 servings for the last break</t>
    <phoneticPr fontId="4" type="noConversion"/>
  </si>
  <si>
    <t>350 servings each day, total 4 days</t>
    <phoneticPr fontId="4" type="noConversion"/>
  </si>
  <si>
    <t>1000_Lower</t>
    <phoneticPr fontId="3" type="noConversion"/>
  </si>
  <si>
    <t>700_Lower</t>
    <phoneticPr fontId="3" type="noConversion"/>
  </si>
  <si>
    <t>700_Higher</t>
    <phoneticPr fontId="3" type="noConversion"/>
  </si>
  <si>
    <t>1500_Lower</t>
    <phoneticPr fontId="3" type="noConversion"/>
  </si>
  <si>
    <t>1500_Higher</t>
    <phoneticPr fontId="3" type="noConversion"/>
  </si>
  <si>
    <t>Break Even</t>
    <phoneticPr fontId="3" type="noConversion"/>
  </si>
  <si>
    <t>1000_Higher</t>
    <phoneticPr fontId="3" type="noConversion"/>
  </si>
  <si>
    <t>People</t>
    <phoneticPr fontId="3" type="noConversion"/>
  </si>
  <si>
    <t>Ratio</t>
    <phoneticPr fontId="3" type="noConversion"/>
  </si>
  <si>
    <t>Amount</t>
    <phoneticPr fontId="3" type="noConversion"/>
  </si>
  <si>
    <t>Oct. 4, Airport shuttle bus to contracted hotels, total 5 times</t>
    <phoneticPr fontId="3" type="noConversion"/>
  </si>
  <si>
    <t>Airport Pickup Service</t>
    <phoneticPr fontId="3" type="noConversion"/>
  </si>
  <si>
    <t xml:space="preserve">Plenary speaker and ICNA board members, 31 people, total 62 trips </t>
    <phoneticPr fontId="3" type="noConversion"/>
  </si>
  <si>
    <t xml:space="preserve">Accommocation </t>
    <phoneticPr fontId="3" type="noConversion"/>
  </si>
  <si>
    <t>6 nights for each speaker, total 7 speakers, including award speakers</t>
    <phoneticPr fontId="3" type="noConversion"/>
  </si>
  <si>
    <t>Airport Shuttle Bus</t>
    <phoneticPr fontId="3" type="noConversion"/>
  </si>
  <si>
    <t xml:space="preserve">Conference Shuttle Bus </t>
    <phoneticPr fontId="3" type="noConversion"/>
  </si>
  <si>
    <t>4-6</t>
  </si>
  <si>
    <t>4-7</t>
  </si>
  <si>
    <t>E-Poster Stand</t>
    <phoneticPr fontId="3" type="noConversion"/>
  </si>
  <si>
    <t>42 inches</t>
    <phoneticPr fontId="3" type="noConversion"/>
  </si>
  <si>
    <t>Registration*6, Meeting Room *24, Secretariat*2</t>
    <phoneticPr fontId="3" type="noConversion"/>
  </si>
  <si>
    <t>Meeting rooms*6, Secretariat and preview room *8, Backup*3</t>
    <phoneticPr fontId="6" type="noConversion"/>
  </si>
  <si>
    <t xml:space="preserve">Gift-Transportation Card </t>
    <phoneticPr fontId="3" type="noConversion"/>
  </si>
  <si>
    <t>Customized card, can be used for public transportation in Taiwan</t>
    <phoneticPr fontId="3" type="noConversion"/>
  </si>
  <si>
    <t>Customized bag</t>
    <phoneticPr fontId="3" type="noConversion"/>
  </si>
  <si>
    <t>6-6</t>
  </si>
  <si>
    <t>Banner</t>
    <phoneticPr fontId="6" type="noConversion"/>
  </si>
  <si>
    <t>1 person</t>
    <phoneticPr fontId="3" type="noConversion"/>
  </si>
  <si>
    <t>1 person</t>
    <phoneticPr fontId="4" type="noConversion"/>
  </si>
  <si>
    <t>2 people</t>
    <phoneticPr fontId="3" type="noConversion"/>
  </si>
  <si>
    <t>8-4</t>
  </si>
  <si>
    <t>Shuttle bus to and from contracted hotels/conference venue, 4 times on Oct. 5,  6 times a day on Oct. 6-9, total 28 times</t>
    <phoneticPr fontId="3" type="noConversion"/>
  </si>
  <si>
    <t>Opeing Ceremony &amp; Banquet</t>
  </si>
  <si>
    <t>Paid 200 people+Free 200 speakers/VIP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</si>
</sst>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&quot;$&quot;#,##0;[Red]&quot;$&quot;#,##0"/>
    <numFmt numFmtId="178" formatCode="m&quot;月&quot;d&quot;日&quot;"/>
    <numFmt numFmtId="179" formatCode="#,##0_);[Red]\(#,##0\)"/>
    <numFmt numFmtId="180" formatCode="&quot;$&quot;#,##0_);[Red]\(&quot;$&quot;#,##0\)"/>
    <numFmt numFmtId="181" formatCode="_-&quot;$&quot;* #,##0_-;\-&quot;$&quot;* #,##0_-;_-&quot;$&quot;* &quot;-&quot;??_-;_-@_-"/>
    <numFmt numFmtId="182" formatCode="&quot;$&quot;#,##0.0;[Red]&quot;$&quot;#,##0.0"/>
    <numFmt numFmtId="183" formatCode="&quot;$&quot;#,##0.0;[Red]\-&quot;$&quot;#,##0.0"/>
  </numFmts>
  <fonts count="1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Noto Sans CJK TC Regular"/>
      <family val="2"/>
      <charset val="136"/>
    </font>
    <font>
      <sz val="9"/>
      <name val="細明體"/>
      <family val="3"/>
      <charset val="136"/>
    </font>
    <font>
      <b/>
      <sz val="12"/>
      <color theme="1"/>
      <name val="Noto Sans CJK TC Regular"/>
      <family val="2"/>
      <charset val="13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Noto Sans CJK TC Regular"/>
      <family val="2"/>
      <charset val="136"/>
    </font>
    <font>
      <sz val="12"/>
      <name val="Noto Sans CJK TC Regular"/>
      <family val="2"/>
      <charset val="136"/>
    </font>
    <font>
      <b/>
      <sz val="12"/>
      <name val="Noto Sans CJK TC Regular"/>
      <family val="2"/>
      <charset val="136"/>
    </font>
    <font>
      <b/>
      <sz val="16"/>
      <name val="Noto Sans CJK TC Regular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0" applyFont="1">
      <alignment vertical="center"/>
    </xf>
    <xf numFmtId="177" fontId="7" fillId="5" borderId="1" xfId="4" applyNumberFormat="1" applyFont="1" applyFill="1" applyBorder="1" applyAlignment="1">
      <alignment horizontal="right" vertical="center" wrapText="1"/>
    </xf>
    <xf numFmtId="177" fontId="5" fillId="5" borderId="5" xfId="4" applyNumberFormat="1" applyFont="1" applyFill="1" applyBorder="1" applyAlignment="1">
      <alignment horizontal="right" vertical="center" wrapText="1"/>
    </xf>
    <xf numFmtId="177" fontId="7" fillId="5" borderId="11" xfId="4" quotePrefix="1" applyNumberFormat="1" applyFont="1" applyFill="1" applyBorder="1" applyAlignment="1">
      <alignment horizontal="right" vertical="center" wrapText="1"/>
    </xf>
    <xf numFmtId="0" fontId="5" fillId="0" borderId="7" xfId="0" applyFont="1" applyBorder="1">
      <alignment vertical="center"/>
    </xf>
    <xf numFmtId="177" fontId="7" fillId="0" borderId="1" xfId="4" applyNumberFormat="1" applyFont="1" applyBorder="1" applyAlignment="1">
      <alignment horizontal="right" vertical="center" wrapText="1"/>
    </xf>
    <xf numFmtId="176" fontId="7" fillId="0" borderId="0" xfId="1" applyNumberFormat="1" applyFont="1" applyAlignment="1">
      <alignment horizontal="center" vertical="center"/>
    </xf>
    <xf numFmtId="9" fontId="5" fillId="0" borderId="0" xfId="3" applyFont="1" applyAlignment="1">
      <alignment horizontal="center" vertical="center"/>
    </xf>
    <xf numFmtId="0" fontId="8" fillId="0" borderId="0" xfId="0" applyFont="1">
      <alignment vertical="center"/>
    </xf>
    <xf numFmtId="181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81" fontId="9" fillId="0" borderId="7" xfId="2" applyNumberFormat="1" applyFont="1" applyBorder="1" applyAlignment="1">
      <alignment vertical="center" wrapText="1"/>
    </xf>
    <xf numFmtId="0" fontId="9" fillId="0" borderId="7" xfId="2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8" fillId="9" borderId="16" xfId="0" applyFont="1" applyFill="1" applyBorder="1">
      <alignment vertical="center"/>
    </xf>
    <xf numFmtId="181" fontId="9" fillId="0" borderId="20" xfId="2" applyNumberFormat="1" applyFont="1" applyBorder="1" applyAlignment="1">
      <alignment vertical="center" wrapText="1"/>
    </xf>
    <xf numFmtId="181" fontId="9" fillId="0" borderId="21" xfId="2" applyNumberFormat="1" applyFont="1" applyBorder="1" applyAlignment="1">
      <alignment vertical="center" wrapText="1"/>
    </xf>
    <xf numFmtId="0" fontId="8" fillId="9" borderId="22" xfId="0" applyFont="1" applyFill="1" applyBorder="1">
      <alignment vertical="center"/>
    </xf>
    <xf numFmtId="0" fontId="8" fillId="9" borderId="23" xfId="0" applyFont="1" applyFill="1" applyBorder="1" applyAlignment="1">
      <alignment horizontal="center" vertical="center"/>
    </xf>
    <xf numFmtId="181" fontId="8" fillId="9" borderId="23" xfId="0" applyNumberFormat="1" applyFont="1" applyFill="1" applyBorder="1">
      <alignment vertical="center"/>
    </xf>
    <xf numFmtId="0" fontId="8" fillId="9" borderId="23" xfId="0" applyFont="1" applyFill="1" applyBorder="1">
      <alignment vertical="center"/>
    </xf>
    <xf numFmtId="181" fontId="8" fillId="9" borderId="24" xfId="0" applyNumberFormat="1" applyFont="1" applyFill="1" applyBorder="1">
      <alignment vertical="center"/>
    </xf>
    <xf numFmtId="181" fontId="9" fillId="0" borderId="16" xfId="0" applyNumberFormat="1" applyFont="1" applyBorder="1">
      <alignment vertical="center"/>
    </xf>
    <xf numFmtId="181" fontId="8" fillId="9" borderId="26" xfId="0" applyNumberFormat="1" applyFont="1" applyFill="1" applyBorder="1">
      <alignment vertical="center"/>
    </xf>
    <xf numFmtId="0" fontId="9" fillId="0" borderId="27" xfId="0" applyFont="1" applyBorder="1">
      <alignment vertical="center"/>
    </xf>
    <xf numFmtId="181" fontId="8" fillId="9" borderId="28" xfId="0" applyNumberFormat="1" applyFont="1" applyFill="1" applyBorder="1">
      <alignment vertical="center"/>
    </xf>
    <xf numFmtId="49" fontId="5" fillId="4" borderId="1" xfId="4" applyNumberFormat="1" applyFont="1" applyFill="1" applyBorder="1" applyAlignment="1">
      <alignment horizontal="center" vertical="center" wrapText="1"/>
    </xf>
    <xf numFmtId="0" fontId="5" fillId="4" borderId="1" xfId="4" applyFont="1" applyFill="1" applyBorder="1" applyAlignment="1">
      <alignment horizontal="center" vertical="center" wrapText="1"/>
    </xf>
    <xf numFmtId="177" fontId="5" fillId="4" borderId="1" xfId="4" applyNumberFormat="1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49" fontId="5" fillId="0" borderId="5" xfId="4" applyNumberFormat="1" applyFont="1" applyBorder="1" applyAlignment="1">
      <alignment horizontal="left" vertical="center" wrapText="1"/>
    </xf>
    <xf numFmtId="49" fontId="5" fillId="0" borderId="1" xfId="4" applyNumberFormat="1" applyFont="1" applyBorder="1" applyAlignment="1">
      <alignment vertical="center" wrapText="1"/>
    </xf>
    <xf numFmtId="49" fontId="5" fillId="0" borderId="6" xfId="4" applyNumberFormat="1" applyFont="1" applyBorder="1" applyAlignment="1">
      <alignment horizontal="left" vertical="center" wrapText="1"/>
    </xf>
    <xf numFmtId="49" fontId="5" fillId="0" borderId="7" xfId="4" applyNumberFormat="1" applyFont="1" applyBorder="1" applyAlignment="1">
      <alignment vertical="center" wrapText="1"/>
    </xf>
    <xf numFmtId="0" fontId="5" fillId="0" borderId="7" xfId="4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center" wrapText="1"/>
    </xf>
    <xf numFmtId="178" fontId="5" fillId="0" borderId="1" xfId="4" applyNumberFormat="1" applyFont="1" applyBorder="1" applyAlignment="1">
      <alignment horizontal="left" vertical="center" wrapText="1"/>
    </xf>
    <xf numFmtId="177" fontId="5" fillId="5" borderId="1" xfId="4" applyNumberFormat="1" applyFont="1" applyFill="1" applyBorder="1" applyAlignment="1">
      <alignment horizontal="right" vertical="center" wrapText="1"/>
    </xf>
    <xf numFmtId="0" fontId="5" fillId="5" borderId="1" xfId="4" applyFont="1" applyFill="1" applyBorder="1" applyAlignment="1">
      <alignment horizontal="center" vertical="center" wrapText="1"/>
    </xf>
    <xf numFmtId="177" fontId="5" fillId="0" borderId="1" xfId="5" applyNumberFormat="1" applyFont="1" applyFill="1" applyBorder="1" applyAlignment="1">
      <alignment horizontal="right" vertical="center" wrapText="1"/>
    </xf>
    <xf numFmtId="177" fontId="7" fillId="0" borderId="1" xfId="4" quotePrefix="1" applyNumberFormat="1" applyFont="1" applyBorder="1" applyAlignment="1">
      <alignment horizontal="right" vertical="center" wrapText="1"/>
    </xf>
    <xf numFmtId="49" fontId="5" fillId="4" borderId="5" xfId="4" applyNumberFormat="1" applyFont="1" applyFill="1" applyBorder="1" applyAlignment="1">
      <alignment horizontal="center" vertical="center" wrapText="1"/>
    </xf>
    <xf numFmtId="0" fontId="5" fillId="4" borderId="5" xfId="4" applyFont="1" applyFill="1" applyBorder="1" applyAlignment="1">
      <alignment horizontal="center" vertical="center" wrapText="1"/>
    </xf>
    <xf numFmtId="49" fontId="5" fillId="0" borderId="7" xfId="4" applyNumberFormat="1" applyFont="1" applyBorder="1" applyAlignment="1">
      <alignment horizontal="center" vertical="center" wrapText="1"/>
    </xf>
    <xf numFmtId="0" fontId="5" fillId="0" borderId="7" xfId="4" applyFont="1" applyBorder="1" applyAlignment="1">
      <alignment vertical="center" wrapText="1"/>
    </xf>
    <xf numFmtId="0" fontId="5" fillId="0" borderId="7" xfId="4" applyFont="1" applyBorder="1" applyAlignment="1">
      <alignment horizontal="left" vertical="center" wrapText="1"/>
    </xf>
    <xf numFmtId="0" fontId="5" fillId="5" borderId="7" xfId="4" applyFont="1" applyFill="1" applyBorder="1" applyAlignment="1">
      <alignment horizontal="center" vertical="center" wrapText="1"/>
    </xf>
    <xf numFmtId="177" fontId="5" fillId="0" borderId="7" xfId="4" applyNumberFormat="1" applyFont="1" applyBorder="1" applyAlignment="1">
      <alignment horizontal="right" vertical="center" wrapText="1"/>
    </xf>
    <xf numFmtId="49" fontId="5" fillId="0" borderId="2" xfId="4" applyNumberFormat="1" applyFont="1" applyBorder="1" applyAlignment="1">
      <alignment horizontal="center" vertical="center" wrapText="1"/>
    </xf>
    <xf numFmtId="0" fontId="5" fillId="5" borderId="7" xfId="4" applyFont="1" applyFill="1" applyBorder="1" applyAlignment="1">
      <alignment horizontal="left" vertical="center" wrapText="1"/>
    </xf>
    <xf numFmtId="0" fontId="5" fillId="5" borderId="4" xfId="4" applyFont="1" applyFill="1" applyBorder="1" applyAlignment="1">
      <alignment horizontal="left" vertical="center" wrapText="1"/>
    </xf>
    <xf numFmtId="0" fontId="5" fillId="5" borderId="5" xfId="4" applyFont="1" applyFill="1" applyBorder="1" applyAlignment="1">
      <alignment horizontal="center" vertical="center" wrapText="1"/>
    </xf>
    <xf numFmtId="49" fontId="5" fillId="5" borderId="7" xfId="4" applyNumberFormat="1" applyFont="1" applyFill="1" applyBorder="1" applyAlignment="1">
      <alignment horizontal="center" vertical="center" wrapText="1"/>
    </xf>
    <xf numFmtId="0" fontId="5" fillId="5" borderId="15" xfId="4" applyFont="1" applyFill="1" applyBorder="1" applyAlignment="1">
      <alignment horizontal="center" vertical="center" wrapText="1"/>
    </xf>
    <xf numFmtId="177" fontId="5" fillId="5" borderId="15" xfId="4" applyNumberFormat="1" applyFont="1" applyFill="1" applyBorder="1" applyAlignment="1">
      <alignment horizontal="right" vertical="center" wrapText="1"/>
    </xf>
    <xf numFmtId="177" fontId="7" fillId="5" borderId="11" xfId="4" applyNumberFormat="1" applyFont="1" applyFill="1" applyBorder="1" applyAlignment="1">
      <alignment horizontal="right" vertical="center" wrapText="1"/>
    </xf>
    <xf numFmtId="177" fontId="5" fillId="0" borderId="1" xfId="4" applyNumberFormat="1" applyFont="1" applyBorder="1" applyAlignment="1">
      <alignment horizontal="right" vertical="center" wrapText="1"/>
    </xf>
    <xf numFmtId="0" fontId="5" fillId="0" borderId="5" xfId="4" applyFont="1" applyBorder="1" applyAlignment="1">
      <alignment horizontal="left" vertical="center" wrapText="1"/>
    </xf>
    <xf numFmtId="177" fontId="5" fillId="0" borderId="5" xfId="4" applyNumberFormat="1" applyFont="1" applyBorder="1" applyAlignment="1">
      <alignment horizontal="right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left" vertical="center" wrapText="1"/>
    </xf>
    <xf numFmtId="177" fontId="5" fillId="0" borderId="11" xfId="4" applyNumberFormat="1" applyFont="1" applyBorder="1" applyAlignment="1">
      <alignment horizontal="right" vertical="center" wrapText="1"/>
    </xf>
    <xf numFmtId="0" fontId="5" fillId="0" borderId="11" xfId="4" applyFont="1" applyBorder="1" applyAlignment="1">
      <alignment horizontal="center" vertical="center" wrapText="1"/>
    </xf>
    <xf numFmtId="179" fontId="5" fillId="0" borderId="0" xfId="1" applyNumberFormat="1" applyFont="1" applyAlignment="1">
      <alignment horizontal="center" vertical="center"/>
    </xf>
    <xf numFmtId="49" fontId="5" fillId="5" borderId="1" xfId="4" applyNumberFormat="1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left" vertical="center" wrapText="1"/>
    </xf>
    <xf numFmtId="0" fontId="5" fillId="0" borderId="1" xfId="4" applyFont="1" applyBorder="1" applyAlignment="1">
      <alignment vertical="center" wrapText="1"/>
    </xf>
    <xf numFmtId="177" fontId="7" fillId="0" borderId="11" xfId="4" applyNumberFormat="1" applyFont="1" applyBorder="1" applyAlignment="1">
      <alignment horizontal="right" vertical="center" wrapText="1"/>
    </xf>
    <xf numFmtId="9" fontId="9" fillId="0" borderId="7" xfId="3" applyFont="1" applyBorder="1" applyAlignment="1">
      <alignment horizontal="center" vertical="center" wrapText="1"/>
    </xf>
    <xf numFmtId="9" fontId="9" fillId="0" borderId="0" xfId="3" applyFont="1" applyAlignment="1">
      <alignment horizontal="center" vertical="center"/>
    </xf>
    <xf numFmtId="9" fontId="8" fillId="9" borderId="23" xfId="3" applyFont="1" applyFill="1" applyBorder="1" applyAlignment="1">
      <alignment horizontal="center" vertical="center"/>
    </xf>
    <xf numFmtId="9" fontId="9" fillId="0" borderId="16" xfId="3" applyFont="1" applyBorder="1" applyAlignment="1">
      <alignment horizontal="center" vertical="center" wrapText="1"/>
    </xf>
    <xf numFmtId="9" fontId="8" fillId="9" borderId="26" xfId="3" applyFont="1" applyFill="1" applyBorder="1" applyAlignment="1">
      <alignment horizontal="center" vertical="center"/>
    </xf>
    <xf numFmtId="177" fontId="7" fillId="7" borderId="1" xfId="4" applyNumberFormat="1" applyFont="1" applyFill="1" applyBorder="1" applyAlignment="1">
      <alignment vertical="center" wrapText="1"/>
    </xf>
    <xf numFmtId="182" fontId="5" fillId="5" borderId="1" xfId="4" applyNumberFormat="1" applyFont="1" applyFill="1" applyBorder="1" applyAlignment="1">
      <alignment horizontal="right" vertical="center" wrapText="1"/>
    </xf>
    <xf numFmtId="182" fontId="5" fillId="5" borderId="7" xfId="4" applyNumberFormat="1" applyFont="1" applyFill="1" applyBorder="1" applyAlignment="1">
      <alignment horizontal="right" vertical="center" wrapText="1"/>
    </xf>
    <xf numFmtId="183" fontId="5" fillId="5" borderId="1" xfId="4" applyNumberFormat="1" applyFont="1" applyFill="1" applyBorder="1" applyAlignment="1">
      <alignment horizontal="center" vertical="center" wrapText="1"/>
    </xf>
    <xf numFmtId="183" fontId="5" fillId="0" borderId="7" xfId="4" applyNumberFormat="1" applyFont="1" applyBorder="1" applyAlignment="1">
      <alignment horizontal="center" vertical="center" wrapText="1"/>
    </xf>
    <xf numFmtId="182" fontId="5" fillId="5" borderId="13" xfId="4" applyNumberFormat="1" applyFont="1" applyFill="1" applyBorder="1" applyAlignment="1">
      <alignment horizontal="right" vertical="center" wrapText="1"/>
    </xf>
    <xf numFmtId="182" fontId="5" fillId="5" borderId="14" xfId="4" applyNumberFormat="1" applyFont="1" applyFill="1" applyBorder="1" applyAlignment="1">
      <alignment horizontal="right" vertical="center" wrapText="1"/>
    </xf>
    <xf numFmtId="182" fontId="5" fillId="0" borderId="1" xfId="4" applyNumberFormat="1" applyFont="1" applyBorder="1" applyAlignment="1">
      <alignment horizontal="right" vertical="center" wrapText="1"/>
    </xf>
    <xf numFmtId="182" fontId="5" fillId="0" borderId="5" xfId="4" applyNumberFormat="1" applyFont="1" applyBorder="1" applyAlignment="1">
      <alignment horizontal="right" vertical="center" wrapText="1"/>
    </xf>
    <xf numFmtId="182" fontId="5" fillId="0" borderId="7" xfId="4" applyNumberFormat="1" applyFont="1" applyBorder="1" applyAlignment="1">
      <alignment horizontal="right" vertical="center" wrapText="1"/>
    </xf>
    <xf numFmtId="182" fontId="5" fillId="0" borderId="11" xfId="4" applyNumberFormat="1" applyFont="1" applyBorder="1" applyAlignment="1">
      <alignment horizontal="right" vertical="center" wrapText="1"/>
    </xf>
    <xf numFmtId="182" fontId="5" fillId="0" borderId="31" xfId="4" applyNumberFormat="1" applyFont="1" applyBorder="1" applyAlignment="1">
      <alignment horizontal="right" vertical="center" wrapText="1"/>
    </xf>
    <xf numFmtId="177" fontId="5" fillId="0" borderId="4" xfId="4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2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7" xfId="4" applyFont="1" applyBorder="1" applyAlignment="1">
      <alignment horizontal="left" vertical="center" wrapText="1"/>
    </xf>
    <xf numFmtId="182" fontId="11" fillId="5" borderId="14" xfId="4" applyNumberFormat="1" applyFont="1" applyFill="1" applyBorder="1" applyAlignment="1">
      <alignment horizontal="right" vertical="center" wrapText="1"/>
    </xf>
    <xf numFmtId="0" fontId="11" fillId="5" borderId="15" xfId="4" applyFont="1" applyFill="1" applyBorder="1" applyAlignment="1">
      <alignment horizontal="center" vertical="center" wrapText="1"/>
    </xf>
    <xf numFmtId="177" fontId="11" fillId="5" borderId="15" xfId="4" applyNumberFormat="1" applyFont="1" applyFill="1" applyBorder="1" applyAlignment="1">
      <alignment horizontal="right" vertical="center" wrapText="1"/>
    </xf>
    <xf numFmtId="0" fontId="11" fillId="0" borderId="1" xfId="4" applyFont="1" applyBorder="1" applyAlignment="1">
      <alignment horizontal="left" vertical="center" wrapText="1"/>
    </xf>
    <xf numFmtId="0" fontId="11" fillId="0" borderId="7" xfId="4" applyFont="1" applyBorder="1">
      <alignment vertical="center"/>
    </xf>
    <xf numFmtId="182" fontId="11" fillId="5" borderId="13" xfId="4" applyNumberFormat="1" applyFont="1" applyFill="1" applyBorder="1" applyAlignment="1">
      <alignment horizontal="right" vertical="center" wrapText="1"/>
    </xf>
    <xf numFmtId="0" fontId="11" fillId="5" borderId="5" xfId="4" applyFont="1" applyFill="1" applyBorder="1" applyAlignment="1">
      <alignment horizontal="center" vertical="center" wrapText="1"/>
    </xf>
    <xf numFmtId="177" fontId="11" fillId="5" borderId="5" xfId="4" applyNumberFormat="1" applyFont="1" applyFill="1" applyBorder="1" applyAlignment="1">
      <alignment horizontal="right" vertical="center" wrapText="1"/>
    </xf>
    <xf numFmtId="0" fontId="11" fillId="0" borderId="12" xfId="4" applyFont="1" applyBorder="1" applyAlignment="1">
      <alignment horizontal="left" vertical="center" wrapText="1"/>
    </xf>
    <xf numFmtId="182" fontId="11" fillId="5" borderId="12" xfId="4" applyNumberFormat="1" applyFont="1" applyFill="1" applyBorder="1" applyAlignment="1">
      <alignment horizontal="right" vertical="center" wrapText="1"/>
    </xf>
    <xf numFmtId="0" fontId="11" fillId="5" borderId="12" xfId="4" applyFont="1" applyFill="1" applyBorder="1" applyAlignment="1">
      <alignment horizontal="center" vertical="center" wrapText="1"/>
    </xf>
    <xf numFmtId="182" fontId="11" fillId="5" borderId="7" xfId="4" applyNumberFormat="1" applyFont="1" applyFill="1" applyBorder="1" applyAlignment="1">
      <alignment horizontal="right" vertical="center" wrapText="1"/>
    </xf>
    <xf numFmtId="0" fontId="11" fillId="5" borderId="7" xfId="4" applyFont="1" applyFill="1" applyBorder="1" applyAlignment="1">
      <alignment horizontal="center" vertical="center" wrapText="1"/>
    </xf>
    <xf numFmtId="182" fontId="11" fillId="0" borderId="1" xfId="4" applyNumberFormat="1" applyFont="1" applyBorder="1" applyAlignment="1">
      <alignment horizontal="right" vertical="center" wrapText="1"/>
    </xf>
    <xf numFmtId="0" fontId="11" fillId="0" borderId="1" xfId="4" applyFont="1" applyBorder="1" applyAlignment="1">
      <alignment horizontal="center" vertical="center" wrapText="1"/>
    </xf>
    <xf numFmtId="177" fontId="11" fillId="0" borderId="1" xfId="4" applyNumberFormat="1" applyFont="1" applyBorder="1" applyAlignment="1">
      <alignment horizontal="right" vertical="center" wrapText="1"/>
    </xf>
    <xf numFmtId="0" fontId="11" fillId="0" borderId="5" xfId="4" applyFont="1" applyBorder="1" applyAlignment="1">
      <alignment horizontal="left" vertical="center" wrapText="1"/>
    </xf>
    <xf numFmtId="182" fontId="11" fillId="0" borderId="5" xfId="4" applyNumberFormat="1" applyFont="1" applyBorder="1" applyAlignment="1">
      <alignment horizontal="right" vertical="center" wrapText="1"/>
    </xf>
    <xf numFmtId="0" fontId="11" fillId="0" borderId="5" xfId="4" applyFont="1" applyBorder="1" applyAlignment="1">
      <alignment horizontal="center" vertical="center" wrapText="1"/>
    </xf>
    <xf numFmtId="177" fontId="11" fillId="0" borderId="5" xfId="4" applyNumberFormat="1" applyFont="1" applyBorder="1" applyAlignment="1">
      <alignment horizontal="right" vertical="center" wrapText="1"/>
    </xf>
    <xf numFmtId="182" fontId="11" fillId="0" borderId="7" xfId="4" applyNumberFormat="1" applyFont="1" applyBorder="1" applyAlignment="1">
      <alignment horizontal="right" vertical="center" wrapText="1"/>
    </xf>
    <xf numFmtId="0" fontId="11" fillId="0" borderId="7" xfId="4" applyFont="1" applyBorder="1" applyAlignment="1">
      <alignment horizontal="center" vertical="center" wrapText="1"/>
    </xf>
    <xf numFmtId="177" fontId="11" fillId="0" borderId="7" xfId="4" applyNumberFormat="1" applyFont="1" applyBorder="1" applyAlignment="1">
      <alignment horizontal="right" vertical="center" wrapText="1"/>
    </xf>
    <xf numFmtId="182" fontId="11" fillId="0" borderId="12" xfId="4" applyNumberFormat="1" applyFont="1" applyBorder="1" applyAlignment="1">
      <alignment horizontal="right" vertical="center" wrapText="1"/>
    </xf>
    <xf numFmtId="0" fontId="11" fillId="0" borderId="12" xfId="4" applyFont="1" applyBorder="1" applyAlignment="1">
      <alignment horizontal="center" vertical="center" wrapText="1"/>
    </xf>
    <xf numFmtId="177" fontId="11" fillId="0" borderId="12" xfId="4" applyNumberFormat="1" applyFont="1" applyBorder="1" applyAlignment="1">
      <alignment horizontal="right" vertical="center" wrapText="1"/>
    </xf>
    <xf numFmtId="49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center" vertical="center" wrapText="1"/>
    </xf>
    <xf numFmtId="177" fontId="11" fillId="4" borderId="1" xfId="4" applyNumberFormat="1" applyFont="1" applyFill="1" applyBorder="1" applyAlignment="1">
      <alignment horizontal="center" vertical="center" wrapText="1"/>
    </xf>
    <xf numFmtId="49" fontId="11" fillId="0" borderId="1" xfId="4" applyNumberFormat="1" applyFont="1" applyBorder="1" applyAlignment="1">
      <alignment horizontal="center" vertical="center" wrapText="1"/>
    </xf>
    <xf numFmtId="178" fontId="11" fillId="0" borderId="1" xfId="4" applyNumberFormat="1" applyFont="1" applyBorder="1" applyAlignment="1">
      <alignment horizontal="left" vertical="center" wrapText="1"/>
    </xf>
    <xf numFmtId="182" fontId="11" fillId="5" borderId="1" xfId="4" applyNumberFormat="1" applyFont="1" applyFill="1" applyBorder="1" applyAlignment="1">
      <alignment horizontal="right" vertical="center" wrapText="1"/>
    </xf>
    <xf numFmtId="0" fontId="11" fillId="5" borderId="1" xfId="4" applyFont="1" applyFill="1" applyBorder="1" applyAlignment="1">
      <alignment horizontal="center" vertical="center" wrapText="1"/>
    </xf>
    <xf numFmtId="177" fontId="11" fillId="0" borderId="1" xfId="5" applyNumberFormat="1" applyFont="1" applyFill="1" applyBorder="1" applyAlignment="1">
      <alignment horizontal="right" vertical="center" wrapText="1"/>
    </xf>
    <xf numFmtId="177" fontId="12" fillId="0" borderId="1" xfId="4" quotePrefix="1" applyNumberFormat="1" applyFont="1" applyBorder="1" applyAlignment="1">
      <alignment horizontal="right" vertical="center" wrapText="1"/>
    </xf>
    <xf numFmtId="49" fontId="11" fillId="0" borderId="7" xfId="4" applyNumberFormat="1" applyFont="1" applyBorder="1" applyAlignment="1">
      <alignment horizontal="center" vertical="center" wrapText="1"/>
    </xf>
    <xf numFmtId="0" fontId="11" fillId="0" borderId="7" xfId="4" applyFont="1" applyBorder="1" applyAlignment="1">
      <alignment vertical="center" wrapText="1"/>
    </xf>
    <xf numFmtId="177" fontId="12" fillId="5" borderId="11" xfId="4" quotePrefix="1" applyNumberFormat="1" applyFont="1" applyFill="1" applyBorder="1" applyAlignment="1">
      <alignment horizontal="right" vertical="center" wrapText="1"/>
    </xf>
    <xf numFmtId="49" fontId="11" fillId="0" borderId="2" xfId="4" applyNumberFormat="1" applyFont="1" applyBorder="1" applyAlignment="1">
      <alignment horizontal="center" vertical="center" wrapText="1"/>
    </xf>
    <xf numFmtId="0" fontId="11" fillId="5" borderId="7" xfId="4" applyFont="1" applyFill="1" applyBorder="1" applyAlignment="1">
      <alignment horizontal="left" vertical="center" wrapText="1"/>
    </xf>
    <xf numFmtId="0" fontId="11" fillId="5" borderId="4" xfId="4" applyFont="1" applyFill="1" applyBorder="1" applyAlignment="1">
      <alignment horizontal="left" vertical="center" wrapText="1"/>
    </xf>
    <xf numFmtId="177" fontId="11" fillId="5" borderId="1" xfId="4" applyNumberFormat="1" applyFont="1" applyFill="1" applyBorder="1" applyAlignment="1">
      <alignment horizontal="right" vertical="center" wrapText="1"/>
    </xf>
    <xf numFmtId="177" fontId="12" fillId="5" borderId="1" xfId="4" applyNumberFormat="1" applyFont="1" applyFill="1" applyBorder="1" applyAlignment="1">
      <alignment horizontal="right" vertical="center" wrapText="1"/>
    </xf>
    <xf numFmtId="49" fontId="11" fillId="4" borderId="5" xfId="4" applyNumberFormat="1" applyFont="1" applyFill="1" applyBorder="1" applyAlignment="1">
      <alignment horizontal="center" vertical="center" wrapText="1"/>
    </xf>
    <xf numFmtId="0" fontId="11" fillId="4" borderId="5" xfId="4" applyFont="1" applyFill="1" applyBorder="1" applyAlignment="1">
      <alignment horizontal="center" vertical="center" wrapText="1"/>
    </xf>
    <xf numFmtId="49" fontId="11" fillId="5" borderId="7" xfId="4" applyNumberFormat="1" applyFont="1" applyFill="1" applyBorder="1" applyAlignment="1">
      <alignment horizontal="center" vertical="center" wrapText="1"/>
    </xf>
    <xf numFmtId="177" fontId="12" fillId="5" borderId="11" xfId="4" applyNumberFormat="1" applyFont="1" applyFill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11" fillId="0" borderId="11" xfId="4" applyFont="1" applyBorder="1" applyAlignment="1">
      <alignment horizontal="left" vertical="center" wrapText="1"/>
    </xf>
    <xf numFmtId="182" fontId="11" fillId="0" borderId="11" xfId="4" applyNumberFormat="1" applyFont="1" applyBorder="1" applyAlignment="1">
      <alignment horizontal="right" vertical="center" wrapText="1"/>
    </xf>
    <xf numFmtId="0" fontId="11" fillId="0" borderId="11" xfId="4" applyFont="1" applyBorder="1" applyAlignment="1">
      <alignment horizontal="center" vertical="center" wrapText="1"/>
    </xf>
    <xf numFmtId="177" fontId="11" fillId="0" borderId="11" xfId="4" applyNumberFormat="1" applyFont="1" applyBorder="1" applyAlignment="1">
      <alignment horizontal="right" vertical="center" wrapText="1"/>
    </xf>
    <xf numFmtId="177" fontId="12" fillId="0" borderId="1" xfId="4" applyNumberFormat="1" applyFont="1" applyBorder="1" applyAlignment="1">
      <alignment horizontal="right" vertical="center" wrapText="1"/>
    </xf>
    <xf numFmtId="49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0" borderId="1" xfId="4" applyFont="1" applyBorder="1" applyAlignment="1">
      <alignment vertical="center" wrapText="1"/>
    </xf>
    <xf numFmtId="182" fontId="11" fillId="0" borderId="31" xfId="4" applyNumberFormat="1" applyFont="1" applyBorder="1" applyAlignment="1">
      <alignment horizontal="right" vertical="center" wrapText="1"/>
    </xf>
    <xf numFmtId="177" fontId="11" fillId="0" borderId="4" xfId="4" applyNumberFormat="1" applyFont="1" applyBorder="1" applyAlignment="1">
      <alignment horizontal="right" vertical="center" wrapText="1"/>
    </xf>
    <xf numFmtId="177" fontId="12" fillId="0" borderId="11" xfId="4" applyNumberFormat="1" applyFont="1" applyBorder="1" applyAlignment="1">
      <alignment horizontal="right" vertical="center" wrapText="1"/>
    </xf>
    <xf numFmtId="176" fontId="11" fillId="0" borderId="0" xfId="1" applyNumberFormat="1" applyFont="1" applyAlignment="1">
      <alignment horizontal="center" vertical="center"/>
    </xf>
    <xf numFmtId="0" fontId="11" fillId="0" borderId="0" xfId="0" applyFont="1">
      <alignment vertical="center"/>
    </xf>
    <xf numFmtId="49" fontId="11" fillId="0" borderId="5" xfId="4" applyNumberFormat="1" applyFont="1" applyBorder="1" applyAlignment="1">
      <alignment horizontal="left" vertical="center" wrapText="1"/>
    </xf>
    <xf numFmtId="49" fontId="11" fillId="0" borderId="1" xfId="4" applyNumberFormat="1" applyFont="1" applyBorder="1" applyAlignment="1">
      <alignment vertical="center" wrapText="1"/>
    </xf>
    <xf numFmtId="183" fontId="11" fillId="5" borderId="1" xfId="4" applyNumberFormat="1" applyFont="1" applyFill="1" applyBorder="1" applyAlignment="1">
      <alignment horizontal="center" vertical="center" wrapText="1"/>
    </xf>
    <xf numFmtId="49" fontId="11" fillId="0" borderId="6" xfId="4" applyNumberFormat="1" applyFont="1" applyBorder="1" applyAlignment="1">
      <alignment horizontal="left" vertical="center" wrapText="1"/>
    </xf>
    <xf numFmtId="49" fontId="11" fillId="0" borderId="7" xfId="4" applyNumberFormat="1" applyFont="1" applyBorder="1" applyAlignment="1">
      <alignment vertical="center" wrapText="1"/>
    </xf>
    <xf numFmtId="183" fontId="11" fillId="0" borderId="7" xfId="4" applyNumberFormat="1" applyFont="1" applyBorder="1" applyAlignment="1">
      <alignment horizontal="center" vertical="center" wrapText="1"/>
    </xf>
    <xf numFmtId="177" fontId="12" fillId="7" borderId="1" xfId="4" applyNumberFormat="1" applyFont="1" applyFill="1" applyBorder="1" applyAlignment="1">
      <alignment vertical="center" wrapText="1"/>
    </xf>
    <xf numFmtId="176" fontId="11" fillId="0" borderId="0" xfId="1" applyNumberFormat="1" applyFont="1" applyAlignment="1">
      <alignment horizontal="left" vertical="center"/>
    </xf>
    <xf numFmtId="176" fontId="11" fillId="6" borderId="0" xfId="1" applyNumberFormat="1" applyFont="1" applyFill="1" applyAlignment="1">
      <alignment horizontal="center" vertical="center"/>
    </xf>
    <xf numFmtId="179" fontId="11" fillId="0" borderId="0" xfId="1" applyNumberFormat="1" applyFont="1" applyAlignment="1">
      <alignment horizontal="center" vertical="center"/>
    </xf>
    <xf numFmtId="176" fontId="12" fillId="0" borderId="0" xfId="1" applyNumberFormat="1" applyFont="1" applyAlignment="1">
      <alignment horizontal="center" vertical="center"/>
    </xf>
    <xf numFmtId="9" fontId="11" fillId="0" borderId="0" xfId="3" applyFont="1" applyAlignment="1">
      <alignment horizontal="center" vertical="center"/>
    </xf>
    <xf numFmtId="177" fontId="11" fillId="5" borderId="1" xfId="4" applyNumberFormat="1" applyFont="1" applyFill="1" applyBorder="1" applyAlignment="1">
      <alignment horizontal="left" vertical="center" wrapText="1"/>
    </xf>
    <xf numFmtId="177" fontId="11" fillId="7" borderId="1" xfId="4" applyNumberFormat="1" applyFont="1" applyFill="1" applyBorder="1" applyAlignment="1">
      <alignment horizontal="center" vertical="center" wrapText="1"/>
    </xf>
    <xf numFmtId="176" fontId="12" fillId="0" borderId="0" xfId="1" applyNumberFormat="1" applyFont="1" applyAlignment="1">
      <alignment horizontal="center" vertical="center" wrapText="1"/>
    </xf>
    <xf numFmtId="49" fontId="7" fillId="7" borderId="1" xfId="4" applyNumberFormat="1" applyFont="1" applyFill="1" applyBorder="1" applyAlignment="1">
      <alignment horizontal="right" vertical="center" wrapText="1"/>
    </xf>
    <xf numFmtId="180" fontId="7" fillId="7" borderId="1" xfId="4" applyNumberFormat="1" applyFont="1" applyFill="1" applyBorder="1" applyAlignment="1">
      <alignment horizontal="right" vertical="center" wrapText="1"/>
    </xf>
    <xf numFmtId="49" fontId="7" fillId="0" borderId="1" xfId="4" applyNumberFormat="1" applyFont="1" applyBorder="1" applyAlignment="1">
      <alignment horizontal="left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177" fontId="7" fillId="0" borderId="1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3" xfId="4" applyNumberFormat="1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vertical="center" wrapText="1"/>
    </xf>
    <xf numFmtId="49" fontId="7" fillId="3" borderId="1" xfId="4" applyNumberFormat="1" applyFont="1" applyFill="1" applyBorder="1" applyAlignment="1">
      <alignment horizontal="right" vertical="center" wrapText="1"/>
    </xf>
    <xf numFmtId="177" fontId="7" fillId="3" borderId="1" xfId="4" applyNumberFormat="1" applyFont="1" applyFill="1" applyBorder="1" applyAlignment="1">
      <alignment horizontal="right" vertical="center" wrapText="1"/>
    </xf>
    <xf numFmtId="49" fontId="7" fillId="5" borderId="2" xfId="4" applyNumberFormat="1" applyFont="1" applyFill="1" applyBorder="1" applyAlignment="1">
      <alignment horizontal="left" vertical="center" wrapText="1"/>
    </xf>
    <xf numFmtId="49" fontId="7" fillId="5" borderId="3" xfId="4" applyNumberFormat="1" applyFont="1" applyFill="1" applyBorder="1" applyAlignment="1">
      <alignment horizontal="left" vertical="center" wrapText="1"/>
    </xf>
    <xf numFmtId="49" fontId="7" fillId="5" borderId="4" xfId="4" applyNumberFormat="1" applyFont="1" applyFill="1" applyBorder="1" applyAlignment="1">
      <alignment horizontal="left" vertical="center" wrapText="1"/>
    </xf>
    <xf numFmtId="0" fontId="5" fillId="0" borderId="7" xfId="4" applyFont="1" applyBorder="1" applyAlignment="1">
      <alignment horizontal="left" vertical="center" wrapText="1"/>
    </xf>
    <xf numFmtId="0" fontId="5" fillId="0" borderId="11" xfId="4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wrapText="1"/>
    </xf>
    <xf numFmtId="49" fontId="5" fillId="0" borderId="8" xfId="4" applyNumberFormat="1" applyFont="1" applyBorder="1" applyAlignment="1">
      <alignment horizontal="center" vertical="center" wrapText="1"/>
    </xf>
    <xf numFmtId="49" fontId="5" fillId="0" borderId="9" xfId="4" applyNumberFormat="1" applyFont="1" applyBorder="1" applyAlignment="1">
      <alignment horizontal="center" vertical="center" wrapText="1"/>
    </xf>
    <xf numFmtId="49" fontId="5" fillId="0" borderId="10" xfId="4" applyNumberFormat="1" applyFont="1" applyBorder="1" applyAlignment="1">
      <alignment horizontal="center" vertical="center" wrapText="1"/>
    </xf>
    <xf numFmtId="0" fontId="11" fillId="0" borderId="7" xfId="4" applyFont="1" applyBorder="1" applyAlignment="1">
      <alignment horizontal="left" vertical="center" wrapText="1"/>
    </xf>
    <xf numFmtId="0" fontId="11" fillId="0" borderId="12" xfId="4" applyFont="1" applyBorder="1" applyAlignment="1">
      <alignment horizontal="left" vertical="center" wrapText="1"/>
    </xf>
    <xf numFmtId="49" fontId="5" fillId="5" borderId="8" xfId="4" applyNumberFormat="1" applyFont="1" applyFill="1" applyBorder="1" applyAlignment="1">
      <alignment horizontal="center" vertical="center" wrapText="1"/>
    </xf>
    <xf numFmtId="49" fontId="5" fillId="5" borderId="9" xfId="4" applyNumberFormat="1" applyFont="1" applyFill="1" applyBorder="1" applyAlignment="1">
      <alignment horizontal="center" vertical="center" wrapText="1"/>
    </xf>
    <xf numFmtId="49" fontId="5" fillId="5" borderId="10" xfId="4" applyNumberFormat="1" applyFont="1" applyFill="1" applyBorder="1" applyAlignment="1">
      <alignment horizontal="center" vertical="center" wrapText="1"/>
    </xf>
    <xf numFmtId="49" fontId="10" fillId="2" borderId="1" xfId="4" applyNumberFormat="1" applyFont="1" applyFill="1" applyBorder="1" applyAlignment="1">
      <alignment horizontal="center" vertical="center" wrapText="1"/>
    </xf>
    <xf numFmtId="49" fontId="7" fillId="3" borderId="1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Border="1" applyAlignment="1">
      <alignment vertical="center" wrapText="1"/>
    </xf>
    <xf numFmtId="0" fontId="7" fillId="7" borderId="32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49" fontId="7" fillId="5" borderId="2" xfId="4" applyNumberFormat="1" applyFont="1" applyFill="1" applyBorder="1" applyAlignment="1">
      <alignment horizontal="center" vertical="center" wrapText="1"/>
    </xf>
    <xf numFmtId="49" fontId="7" fillId="5" borderId="3" xfId="4" applyNumberFormat="1" applyFont="1" applyFill="1" applyBorder="1" applyAlignment="1">
      <alignment horizontal="center" vertical="center" wrapText="1"/>
    </xf>
    <xf numFmtId="49" fontId="7" fillId="5" borderId="4" xfId="4" applyNumberFormat="1" applyFont="1" applyFill="1" applyBorder="1" applyAlignment="1">
      <alignment horizontal="center" vertical="center" wrapText="1"/>
    </xf>
    <xf numFmtId="0" fontId="5" fillId="0" borderId="1" xfId="4" applyFont="1" applyBorder="1" applyAlignment="1">
      <alignment vertical="center" wrapText="1"/>
    </xf>
    <xf numFmtId="49" fontId="7" fillId="0" borderId="2" xfId="4" applyNumberFormat="1" applyFont="1" applyBorder="1" applyAlignment="1">
      <alignment horizontal="left" vertical="center" wrapText="1"/>
    </xf>
    <xf numFmtId="49" fontId="7" fillId="0" borderId="3" xfId="4" applyNumberFormat="1" applyFont="1" applyBorder="1" applyAlignment="1">
      <alignment horizontal="left" vertical="center" wrapText="1"/>
    </xf>
    <xf numFmtId="49" fontId="7" fillId="0" borderId="4" xfId="4" applyNumberFormat="1" applyFont="1" applyBorder="1" applyAlignment="1">
      <alignment horizontal="left" vertical="center" wrapText="1"/>
    </xf>
    <xf numFmtId="49" fontId="11" fillId="0" borderId="8" xfId="4" applyNumberFormat="1" applyFont="1" applyBorder="1" applyAlignment="1">
      <alignment horizontal="center" vertical="center" wrapText="1"/>
    </xf>
    <xf numFmtId="49" fontId="11" fillId="0" borderId="9" xfId="4" applyNumberFormat="1" applyFont="1" applyBorder="1" applyAlignment="1">
      <alignment horizontal="center" vertical="center" wrapText="1"/>
    </xf>
    <xf numFmtId="49" fontId="11" fillId="0" borderId="10" xfId="4" applyNumberFormat="1" applyFont="1" applyBorder="1" applyAlignment="1">
      <alignment horizontal="center" vertical="center" wrapText="1"/>
    </xf>
    <xf numFmtId="177" fontId="12" fillId="0" borderId="1" xfId="4" applyNumberFormat="1" applyFont="1" applyBorder="1" applyAlignment="1">
      <alignment horizontal="center" vertical="center" wrapText="1"/>
    </xf>
    <xf numFmtId="49" fontId="12" fillId="0" borderId="1" xfId="4" applyNumberFormat="1" applyFont="1" applyBorder="1" applyAlignment="1">
      <alignment horizontal="left" vertical="center" wrapText="1"/>
    </xf>
    <xf numFmtId="49" fontId="11" fillId="0" borderId="1" xfId="4" applyNumberFormat="1" applyFont="1" applyBorder="1" applyAlignment="1">
      <alignment horizontal="center" vertical="center" wrapText="1"/>
    </xf>
    <xf numFmtId="49" fontId="12" fillId="5" borderId="2" xfId="4" applyNumberFormat="1" applyFont="1" applyFill="1" applyBorder="1" applyAlignment="1">
      <alignment horizontal="left" vertical="center" wrapText="1"/>
    </xf>
    <xf numFmtId="49" fontId="12" fillId="5" borderId="3" xfId="4" applyNumberFormat="1" applyFont="1" applyFill="1" applyBorder="1" applyAlignment="1">
      <alignment horizontal="left" vertical="center" wrapText="1"/>
    </xf>
    <xf numFmtId="49" fontId="12" fillId="5" borderId="4" xfId="4" applyNumberFormat="1" applyFont="1" applyFill="1" applyBorder="1" applyAlignment="1">
      <alignment horizontal="left" vertical="center" wrapText="1"/>
    </xf>
    <xf numFmtId="0" fontId="11" fillId="0" borderId="1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49" fontId="11" fillId="0" borderId="2" xfId="4" applyNumberFormat="1" applyFont="1" applyBorder="1" applyAlignment="1">
      <alignment horizontal="center" vertical="center" wrapText="1"/>
    </xf>
    <xf numFmtId="49" fontId="11" fillId="0" borderId="3" xfId="4" applyNumberFormat="1" applyFont="1" applyBorder="1" applyAlignment="1">
      <alignment horizontal="center" vertical="center" wrapText="1"/>
    </xf>
    <xf numFmtId="49" fontId="11" fillId="0" borderId="4" xfId="4" applyNumberFormat="1" applyFont="1" applyBorder="1" applyAlignment="1">
      <alignment horizontal="center" vertical="center" wrapText="1"/>
    </xf>
    <xf numFmtId="49" fontId="12" fillId="0" borderId="1" xfId="4" applyNumberFormat="1" applyFont="1" applyBorder="1" applyAlignment="1">
      <alignment vertical="center" wrapText="1"/>
    </xf>
    <xf numFmtId="0" fontId="11" fillId="0" borderId="1" xfId="4" applyFont="1" applyBorder="1" applyAlignment="1">
      <alignment vertical="center" wrapText="1"/>
    </xf>
    <xf numFmtId="49" fontId="12" fillId="0" borderId="2" xfId="4" applyNumberFormat="1" applyFont="1" applyBorder="1" applyAlignment="1">
      <alignment horizontal="left" vertical="center" wrapText="1"/>
    </xf>
    <xf numFmtId="49" fontId="12" fillId="0" borderId="3" xfId="4" applyNumberFormat="1" applyFont="1" applyBorder="1" applyAlignment="1">
      <alignment horizontal="left" vertical="center" wrapText="1"/>
    </xf>
    <xf numFmtId="49" fontId="12" fillId="0" borderId="4" xfId="4" applyNumberFormat="1" applyFont="1" applyBorder="1" applyAlignment="1">
      <alignment horizontal="left" vertical="center" wrapText="1"/>
    </xf>
    <xf numFmtId="49" fontId="11" fillId="5" borderId="8" xfId="4" applyNumberFormat="1" applyFont="1" applyFill="1" applyBorder="1" applyAlignment="1">
      <alignment horizontal="center" vertical="center" wrapText="1"/>
    </xf>
    <xf numFmtId="49" fontId="11" fillId="5" borderId="9" xfId="4" applyNumberFormat="1" applyFont="1" applyFill="1" applyBorder="1" applyAlignment="1">
      <alignment horizontal="center" vertical="center" wrapText="1"/>
    </xf>
    <xf numFmtId="49" fontId="11" fillId="5" borderId="10" xfId="4" applyNumberFormat="1" applyFont="1" applyFill="1" applyBorder="1" applyAlignment="1">
      <alignment horizontal="center" vertical="center" wrapText="1"/>
    </xf>
    <xf numFmtId="49" fontId="12" fillId="3" borderId="1" xfId="4" applyNumberFormat="1" applyFont="1" applyFill="1" applyBorder="1" applyAlignment="1">
      <alignment horizontal="center" vertical="center" wrapText="1"/>
    </xf>
    <xf numFmtId="49" fontId="12" fillId="7" borderId="1" xfId="4" applyNumberFormat="1" applyFont="1" applyFill="1" applyBorder="1" applyAlignment="1">
      <alignment horizontal="right" vertical="center" wrapText="1"/>
    </xf>
    <xf numFmtId="180" fontId="12" fillId="7" borderId="1" xfId="4" applyNumberFormat="1" applyFont="1" applyFill="1" applyBorder="1" applyAlignment="1">
      <alignment horizontal="right" vertical="center" wrapText="1"/>
    </xf>
    <xf numFmtId="49" fontId="12" fillId="3" borderId="1" xfId="4" applyNumberFormat="1" applyFont="1" applyFill="1" applyBorder="1" applyAlignment="1">
      <alignment horizontal="right" vertical="center" wrapText="1"/>
    </xf>
    <xf numFmtId="177" fontId="12" fillId="3" borderId="1" xfId="4" applyNumberFormat="1" applyFont="1" applyFill="1" applyBorder="1" applyAlignment="1">
      <alignment horizontal="right" vertical="center" wrapText="1"/>
    </xf>
    <xf numFmtId="0" fontId="12" fillId="7" borderId="32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49" fontId="12" fillId="5" borderId="2" xfId="4" applyNumberFormat="1" applyFont="1" applyFill="1" applyBorder="1" applyAlignment="1">
      <alignment horizontal="center" vertical="center" wrapText="1"/>
    </xf>
    <xf numFmtId="49" fontId="12" fillId="5" borderId="3" xfId="4" applyNumberFormat="1" applyFont="1" applyFill="1" applyBorder="1" applyAlignment="1">
      <alignment horizontal="center" vertical="center" wrapText="1"/>
    </xf>
    <xf numFmtId="49" fontId="12" fillId="5" borderId="4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center" vertical="center" wrapText="1"/>
    </xf>
    <xf numFmtId="177" fontId="12" fillId="0" borderId="11" xfId="4" applyNumberFormat="1" applyFont="1" applyBorder="1" applyAlignment="1">
      <alignment horizontal="center" vertical="center" wrapText="1"/>
    </xf>
    <xf numFmtId="177" fontId="12" fillId="5" borderId="8" xfId="4" applyNumberFormat="1" applyFont="1" applyFill="1" applyBorder="1" applyAlignment="1">
      <alignment horizontal="center" vertical="center" wrapText="1"/>
    </xf>
    <xf numFmtId="177" fontId="12" fillId="5" borderId="10" xfId="4" applyNumberFormat="1" applyFont="1" applyFill="1" applyBorder="1" applyAlignment="1">
      <alignment horizontal="center" vertical="center" wrapText="1"/>
    </xf>
    <xf numFmtId="177" fontId="12" fillId="7" borderId="1" xfId="4" applyNumberFormat="1" applyFont="1" applyFill="1" applyBorder="1" applyAlignment="1">
      <alignment vertical="center" wrapText="1"/>
    </xf>
    <xf numFmtId="49" fontId="12" fillId="0" borderId="2" xfId="4" applyNumberFormat="1" applyFont="1" applyBorder="1" applyAlignment="1">
      <alignment horizontal="center" vertical="center" wrapText="1"/>
    </xf>
    <xf numFmtId="49" fontId="12" fillId="0" borderId="3" xfId="4" applyNumberFormat="1" applyFont="1" applyBorder="1" applyAlignment="1">
      <alignment horizontal="center" vertical="center" wrapText="1"/>
    </xf>
    <xf numFmtId="49" fontId="12" fillId="0" borderId="4" xfId="4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</cellXfs>
  <cellStyles count="6">
    <cellStyle name="一般" xfId="0" builtinId="0"/>
    <cellStyle name="一般 2" xfId="4" xr:uid="{25D4E38F-CBB3-4D14-BF75-534D0D2D9ABD}"/>
    <cellStyle name="千分位" xfId="1" builtinId="3"/>
    <cellStyle name="千分位[0] 2" xfId="5" xr:uid="{7925BE1F-11C5-401C-8B90-FAA15C72D88C}"/>
    <cellStyle name="百分比" xfId="3" builtinId="5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D0D8-49EA-448E-AE1B-573E886B1B27}">
  <dimension ref="A1:M98"/>
  <sheetViews>
    <sheetView zoomScale="85" zoomScaleNormal="85" workbookViewId="0">
      <selection activeCell="D4" sqref="D4"/>
    </sheetView>
  </sheetViews>
  <sheetFormatPr defaultColWidth="8.875" defaultRowHeight="16.5"/>
  <cols>
    <col min="1" max="1" width="8.875" style="2"/>
    <col min="2" max="2" width="35.375" style="2" customWidth="1"/>
    <col min="3" max="3" width="50.25" style="2" customWidth="1"/>
    <col min="4" max="4" width="16.25" style="2" customWidth="1"/>
    <col min="5" max="5" width="10.25" style="2" bestFit="1" customWidth="1"/>
    <col min="6" max="6" width="29.875" style="2" customWidth="1"/>
    <col min="7" max="7" width="14.125" style="1" bestFit="1" customWidth="1"/>
    <col min="8" max="12" width="8.875" style="2"/>
    <col min="13" max="13" width="15.25" style="2" bestFit="1" customWidth="1"/>
    <col min="14" max="16384" width="8.875" style="2"/>
  </cols>
  <sheetData>
    <row r="1" spans="1:6" ht="27.6" customHeight="1">
      <c r="A1" s="196" t="s">
        <v>45</v>
      </c>
      <c r="B1" s="196"/>
      <c r="C1" s="196"/>
      <c r="D1" s="196"/>
      <c r="E1" s="196"/>
      <c r="F1" s="196"/>
    </row>
    <row r="2" spans="1:6" ht="27.6" customHeight="1">
      <c r="A2" s="197" t="s">
        <v>56</v>
      </c>
      <c r="B2" s="197"/>
      <c r="C2" s="197"/>
      <c r="D2" s="197"/>
      <c r="E2" s="197"/>
      <c r="F2" s="197"/>
    </row>
    <row r="3" spans="1:6" ht="27.6" customHeight="1">
      <c r="A3" s="29" t="s">
        <v>46</v>
      </c>
      <c r="B3" s="30" t="s">
        <v>47</v>
      </c>
      <c r="C3" s="30" t="s">
        <v>48</v>
      </c>
      <c r="D3" s="31" t="s">
        <v>49</v>
      </c>
      <c r="E3" s="31" t="s">
        <v>50</v>
      </c>
      <c r="F3" s="31" t="s">
        <v>51</v>
      </c>
    </row>
    <row r="4" spans="1:6" ht="27.6" customHeight="1">
      <c r="A4" s="32">
        <v>1</v>
      </c>
      <c r="B4" s="33" t="s">
        <v>53</v>
      </c>
      <c r="C4" s="34"/>
      <c r="D4" s="80">
        <f>10821420/30</f>
        <v>360714</v>
      </c>
      <c r="E4" s="32">
        <v>1</v>
      </c>
      <c r="F4" s="43">
        <f>D4*E4</f>
        <v>360714</v>
      </c>
    </row>
    <row r="5" spans="1:6" ht="26.45" customHeight="1">
      <c r="A5" s="32">
        <v>2</v>
      </c>
      <c r="B5" s="35" t="s">
        <v>54</v>
      </c>
      <c r="C5" s="36"/>
      <c r="D5" s="81">
        <f>'Registration Fee'!Z37/30</f>
        <v>252370</v>
      </c>
      <c r="E5" s="37">
        <v>1</v>
      </c>
      <c r="F5" s="43">
        <f>D5*E5</f>
        <v>252370</v>
      </c>
    </row>
    <row r="6" spans="1:6" ht="27.6" customHeight="1">
      <c r="A6" s="172"/>
      <c r="B6" s="172"/>
      <c r="C6" s="172"/>
      <c r="D6" s="199" t="s">
        <v>166</v>
      </c>
      <c r="E6" s="200"/>
      <c r="F6" s="77">
        <f>D4+D5</f>
        <v>613084</v>
      </c>
    </row>
    <row r="7" spans="1:6" ht="27.6" customHeight="1">
      <c r="A7" s="201"/>
      <c r="B7" s="202"/>
      <c r="C7" s="202"/>
      <c r="D7" s="202"/>
      <c r="E7" s="202"/>
      <c r="F7" s="203"/>
    </row>
    <row r="8" spans="1:6" ht="27.6" customHeight="1">
      <c r="A8" s="197" t="s">
        <v>57</v>
      </c>
      <c r="B8" s="197"/>
      <c r="C8" s="197"/>
      <c r="D8" s="197"/>
      <c r="E8" s="197"/>
      <c r="F8" s="197"/>
    </row>
    <row r="9" spans="1:6" ht="27.6" customHeight="1">
      <c r="A9" s="198" t="s">
        <v>70</v>
      </c>
      <c r="B9" s="204"/>
      <c r="C9" s="204"/>
      <c r="D9" s="204"/>
      <c r="E9" s="204"/>
      <c r="F9" s="204"/>
    </row>
    <row r="10" spans="1:6" ht="27.6" customHeight="1">
      <c r="A10" s="29" t="s">
        <v>46</v>
      </c>
      <c r="B10" s="30" t="s">
        <v>47</v>
      </c>
      <c r="C10" s="30" t="s">
        <v>48</v>
      </c>
      <c r="D10" s="31" t="s">
        <v>49</v>
      </c>
      <c r="E10" s="31" t="s">
        <v>50</v>
      </c>
      <c r="F10" s="31" t="s">
        <v>51</v>
      </c>
    </row>
    <row r="11" spans="1:6" ht="27.6" customHeight="1">
      <c r="A11" s="38" t="s">
        <v>1</v>
      </c>
      <c r="B11" s="39" t="s">
        <v>55</v>
      </c>
      <c r="C11" s="40"/>
      <c r="D11" s="78">
        <f>2200000/30</f>
        <v>73333.333333333328</v>
      </c>
      <c r="E11" s="42">
        <v>1</v>
      </c>
      <c r="F11" s="43">
        <f>D11*E11</f>
        <v>73333.333333333328</v>
      </c>
    </row>
    <row r="12" spans="1:6" s="1" customFormat="1" ht="27.6" customHeight="1">
      <c r="A12" s="177"/>
      <c r="B12" s="178"/>
      <c r="C12" s="179"/>
      <c r="D12" s="176" t="s">
        <v>165</v>
      </c>
      <c r="E12" s="176"/>
      <c r="F12" s="44">
        <f>SUM(F11:F11)</f>
        <v>73333.333333333328</v>
      </c>
    </row>
    <row r="13" spans="1:6" s="1" customFormat="1" ht="27.6" customHeight="1">
      <c r="A13" s="205" t="s">
        <v>71</v>
      </c>
      <c r="B13" s="206"/>
      <c r="C13" s="206"/>
      <c r="D13" s="206"/>
      <c r="E13" s="206"/>
      <c r="F13" s="207"/>
    </row>
    <row r="14" spans="1:6" s="1" customFormat="1" ht="27.6" customHeight="1">
      <c r="A14" s="29" t="s">
        <v>46</v>
      </c>
      <c r="B14" s="30" t="s">
        <v>47</v>
      </c>
      <c r="C14" s="30" t="s">
        <v>48</v>
      </c>
      <c r="D14" s="31" t="s">
        <v>49</v>
      </c>
      <c r="E14" s="31" t="s">
        <v>50</v>
      </c>
      <c r="F14" s="31" t="s">
        <v>51</v>
      </c>
    </row>
    <row r="15" spans="1:6" s="1" customFormat="1" ht="27.6" customHeight="1">
      <c r="A15" s="47" t="s">
        <v>3</v>
      </c>
      <c r="B15" s="48" t="s">
        <v>58</v>
      </c>
      <c r="C15" s="49" t="s">
        <v>172</v>
      </c>
      <c r="D15" s="79">
        <f>1000000/30</f>
        <v>33333.333333333336</v>
      </c>
      <c r="E15" s="50">
        <v>1</v>
      </c>
      <c r="F15" s="51">
        <f t="shared" ref="F15:F24" si="0">D15*E15</f>
        <v>33333.333333333336</v>
      </c>
    </row>
    <row r="16" spans="1:6" s="1" customFormat="1" ht="40.9" customHeight="1">
      <c r="A16" s="47" t="s">
        <v>75</v>
      </c>
      <c r="B16" s="99" t="s">
        <v>84</v>
      </c>
      <c r="C16" s="99" t="s">
        <v>206</v>
      </c>
      <c r="D16" s="109">
        <f>5000/30</f>
        <v>166.66666666666666</v>
      </c>
      <c r="E16" s="110">
        <v>17</v>
      </c>
      <c r="F16" s="111">
        <f t="shared" si="0"/>
        <v>2833.333333333333</v>
      </c>
    </row>
    <row r="17" spans="1:6" s="1" customFormat="1" ht="27.6" customHeight="1">
      <c r="A17" s="47" t="s">
        <v>76</v>
      </c>
      <c r="B17" s="112" t="s">
        <v>85</v>
      </c>
      <c r="C17" s="112" t="s">
        <v>176</v>
      </c>
      <c r="D17" s="113">
        <f>(85000*1.05)/30</f>
        <v>2975</v>
      </c>
      <c r="E17" s="114">
        <v>6</v>
      </c>
      <c r="F17" s="111">
        <f t="shared" si="0"/>
        <v>17850</v>
      </c>
    </row>
    <row r="18" spans="1:6" s="1" customFormat="1" ht="27.6" customHeight="1">
      <c r="A18" s="47" t="s">
        <v>77</v>
      </c>
      <c r="B18" s="112" t="s">
        <v>87</v>
      </c>
      <c r="C18" s="112"/>
      <c r="D18" s="113">
        <f>(12000*1.05)/30</f>
        <v>420</v>
      </c>
      <c r="E18" s="114">
        <v>1</v>
      </c>
      <c r="F18" s="115">
        <f t="shared" si="0"/>
        <v>420</v>
      </c>
    </row>
    <row r="19" spans="1:6" s="1" customFormat="1" ht="27.6" customHeight="1">
      <c r="A19" s="47" t="s">
        <v>78</v>
      </c>
      <c r="B19" s="191" t="s">
        <v>91</v>
      </c>
      <c r="C19" s="95" t="s">
        <v>89</v>
      </c>
      <c r="D19" s="116">
        <f>(180000*1.05)/30</f>
        <v>6300</v>
      </c>
      <c r="E19" s="117">
        <v>1</v>
      </c>
      <c r="F19" s="118">
        <f t="shared" si="0"/>
        <v>6300</v>
      </c>
    </row>
    <row r="20" spans="1:6" s="1" customFormat="1" ht="27.6" customHeight="1">
      <c r="A20" s="47" t="s">
        <v>79</v>
      </c>
      <c r="B20" s="191"/>
      <c r="C20" s="95" t="s">
        <v>88</v>
      </c>
      <c r="D20" s="116">
        <f>(120000*1.05)/30</f>
        <v>4200</v>
      </c>
      <c r="E20" s="117">
        <v>5</v>
      </c>
      <c r="F20" s="118">
        <f t="shared" si="0"/>
        <v>21000</v>
      </c>
    </row>
    <row r="21" spans="1:6" s="1" customFormat="1" ht="27.6" customHeight="1">
      <c r="A21" s="47" t="s">
        <v>80</v>
      </c>
      <c r="B21" s="192"/>
      <c r="C21" s="104" t="s">
        <v>90</v>
      </c>
      <c r="D21" s="119">
        <f>(15000*1.05)/30</f>
        <v>525</v>
      </c>
      <c r="E21" s="120">
        <v>10</v>
      </c>
      <c r="F21" s="121">
        <f t="shared" si="0"/>
        <v>5250</v>
      </c>
    </row>
    <row r="22" spans="1:6" s="1" customFormat="1" ht="27.6" customHeight="1">
      <c r="A22" s="47" t="s">
        <v>81</v>
      </c>
      <c r="B22" s="95" t="s">
        <v>92</v>
      </c>
      <c r="C22" s="95" t="s">
        <v>93</v>
      </c>
      <c r="D22" s="116">
        <f>(23000*1.05)/30</f>
        <v>805</v>
      </c>
      <c r="E22" s="117">
        <v>1</v>
      </c>
      <c r="F22" s="118">
        <f t="shared" si="0"/>
        <v>805</v>
      </c>
    </row>
    <row r="23" spans="1:6" s="1" customFormat="1" ht="27.6" customHeight="1">
      <c r="A23" s="47" t="s">
        <v>82</v>
      </c>
      <c r="B23" s="95" t="s">
        <v>203</v>
      </c>
      <c r="C23" s="95" t="s">
        <v>204</v>
      </c>
      <c r="D23" s="116">
        <v>1000</v>
      </c>
      <c r="E23" s="117">
        <v>5</v>
      </c>
      <c r="F23" s="118">
        <f t="shared" si="0"/>
        <v>5000</v>
      </c>
    </row>
    <row r="24" spans="1:6" s="1" customFormat="1" ht="27.6" customHeight="1">
      <c r="A24" s="47" t="s">
        <v>83</v>
      </c>
      <c r="B24" s="49" t="s">
        <v>94</v>
      </c>
      <c r="C24" s="49" t="s">
        <v>95</v>
      </c>
      <c r="D24" s="86">
        <f>(500*1.05)/30</f>
        <v>17.5</v>
      </c>
      <c r="E24" s="37">
        <v>8</v>
      </c>
      <c r="F24" s="51">
        <f t="shared" si="0"/>
        <v>140</v>
      </c>
    </row>
    <row r="25" spans="1:6" s="1" customFormat="1" ht="27.6" customHeight="1">
      <c r="A25" s="193"/>
      <c r="B25" s="194"/>
      <c r="C25" s="195"/>
      <c r="D25" s="176" t="s">
        <v>165</v>
      </c>
      <c r="E25" s="176"/>
      <c r="F25" s="5">
        <f>SUM(F15:F24)</f>
        <v>92931.666666666672</v>
      </c>
    </row>
    <row r="26" spans="1:6" s="1" customFormat="1" ht="27.6" customHeight="1">
      <c r="A26" s="174" t="s">
        <v>72</v>
      </c>
      <c r="B26" s="174"/>
      <c r="C26" s="174"/>
      <c r="D26" s="174"/>
      <c r="E26" s="174"/>
      <c r="F26" s="174"/>
    </row>
    <row r="27" spans="1:6" s="1" customFormat="1" ht="27.6" customHeight="1">
      <c r="A27" s="29" t="s">
        <v>46</v>
      </c>
      <c r="B27" s="30" t="s">
        <v>47</v>
      </c>
      <c r="C27" s="30" t="s">
        <v>48</v>
      </c>
      <c r="D27" s="31" t="s">
        <v>49</v>
      </c>
      <c r="E27" s="31" t="s">
        <v>50</v>
      </c>
      <c r="F27" s="31" t="s">
        <v>51</v>
      </c>
    </row>
    <row r="28" spans="1:6" s="1" customFormat="1" ht="27.6" customHeight="1">
      <c r="A28" s="52" t="s">
        <v>4</v>
      </c>
      <c r="B28" s="53" t="s">
        <v>59</v>
      </c>
      <c r="C28" s="54" t="s">
        <v>169</v>
      </c>
      <c r="D28" s="78">
        <f>220/30</f>
        <v>7.333333333333333</v>
      </c>
      <c r="E28" s="42">
        <v>700</v>
      </c>
      <c r="F28" s="41">
        <f>SUM(D28*E28)</f>
        <v>5133.333333333333</v>
      </c>
    </row>
    <row r="29" spans="1:6" s="1" customFormat="1" ht="27.6" customHeight="1">
      <c r="A29" s="52" t="s">
        <v>5</v>
      </c>
      <c r="B29" s="53" t="s">
        <v>60</v>
      </c>
      <c r="C29" s="54" t="s">
        <v>170</v>
      </c>
      <c r="D29" s="78">
        <f>260/30</f>
        <v>8.6666666666666661</v>
      </c>
      <c r="E29" s="42">
        <v>2240</v>
      </c>
      <c r="F29" s="41">
        <f t="shared" ref="F29:F31" si="1">SUM(D29*E29)</f>
        <v>19413.333333333332</v>
      </c>
    </row>
    <row r="30" spans="1:6" s="1" customFormat="1" ht="38.25" customHeight="1">
      <c r="A30" s="52" t="s">
        <v>6</v>
      </c>
      <c r="B30" s="53" t="s">
        <v>61</v>
      </c>
      <c r="C30" s="54" t="s">
        <v>171</v>
      </c>
      <c r="D30" s="78">
        <f>285/30</f>
        <v>9.5</v>
      </c>
      <c r="E30" s="42">
        <v>2870</v>
      </c>
      <c r="F30" s="41">
        <f t="shared" si="1"/>
        <v>27265</v>
      </c>
    </row>
    <row r="31" spans="1:6" s="1" customFormat="1" ht="27.6" customHeight="1">
      <c r="A31" s="52" t="s">
        <v>7</v>
      </c>
      <c r="B31" s="53" t="s">
        <v>8</v>
      </c>
      <c r="C31" s="54" t="s">
        <v>66</v>
      </c>
      <c r="D31" s="78">
        <f>600/30</f>
        <v>20</v>
      </c>
      <c r="E31" s="42">
        <v>350</v>
      </c>
      <c r="F31" s="41">
        <f t="shared" si="1"/>
        <v>7000</v>
      </c>
    </row>
    <row r="32" spans="1:6" s="1" customFormat="1" ht="27.6" customHeight="1">
      <c r="A32" s="52" t="s">
        <v>9</v>
      </c>
      <c r="B32" s="53" t="s">
        <v>62</v>
      </c>
      <c r="C32" s="54" t="s">
        <v>67</v>
      </c>
      <c r="D32" s="78">
        <f>(16000*1.1)/30</f>
        <v>586.66666666666663</v>
      </c>
      <c r="E32" s="42">
        <v>28</v>
      </c>
      <c r="F32" s="41">
        <f>SUM(D32*E32)</f>
        <v>16426.666666666664</v>
      </c>
    </row>
    <row r="33" spans="1:13" s="1" customFormat="1" ht="27.6" customHeight="1">
      <c r="A33" s="177"/>
      <c r="B33" s="189"/>
      <c r="C33" s="179"/>
      <c r="D33" s="176" t="s">
        <v>165</v>
      </c>
      <c r="E33" s="176"/>
      <c r="F33" s="3">
        <f>SUM(F28:F32)</f>
        <v>75238.333333333328</v>
      </c>
    </row>
    <row r="34" spans="1:13" s="1" customFormat="1" ht="27.6" customHeight="1">
      <c r="A34" s="198" t="s">
        <v>73</v>
      </c>
      <c r="B34" s="198"/>
      <c r="C34" s="198"/>
      <c r="D34" s="198"/>
      <c r="E34" s="198"/>
      <c r="F34" s="198"/>
    </row>
    <row r="35" spans="1:13" s="1" customFormat="1" ht="27.6" customHeight="1">
      <c r="A35" s="45" t="s">
        <v>46</v>
      </c>
      <c r="B35" s="46" t="s">
        <v>47</v>
      </c>
      <c r="C35" s="46" t="s">
        <v>48</v>
      </c>
      <c r="D35" s="31" t="s">
        <v>49</v>
      </c>
      <c r="E35" s="31" t="s">
        <v>50</v>
      </c>
      <c r="F35" s="31" t="s">
        <v>51</v>
      </c>
    </row>
    <row r="36" spans="1:13" ht="27.6" customHeight="1">
      <c r="A36" s="56" t="s">
        <v>74</v>
      </c>
      <c r="B36" s="49" t="s">
        <v>68</v>
      </c>
      <c r="C36" s="49"/>
      <c r="D36" s="82">
        <f>50000/30</f>
        <v>1666.6666666666667</v>
      </c>
      <c r="E36" s="55">
        <v>4</v>
      </c>
      <c r="F36" s="4">
        <f t="shared" ref="F36:F41" si="2">D36*E36</f>
        <v>6666.666666666667</v>
      </c>
    </row>
    <row r="37" spans="1:13" ht="47.25" customHeight="1">
      <c r="A37" s="56" t="s">
        <v>10</v>
      </c>
      <c r="B37" s="100" t="s">
        <v>195</v>
      </c>
      <c r="C37" s="95" t="s">
        <v>196</v>
      </c>
      <c r="D37" s="101">
        <f>(3000*1.05)/30</f>
        <v>105</v>
      </c>
      <c r="E37" s="102">
        <v>62</v>
      </c>
      <c r="F37" s="103">
        <f t="shared" si="2"/>
        <v>6510</v>
      </c>
    </row>
    <row r="38" spans="1:13" ht="36.4" customHeight="1">
      <c r="A38" s="56" t="s">
        <v>42</v>
      </c>
      <c r="B38" s="100" t="s">
        <v>197</v>
      </c>
      <c r="C38" s="95" t="s">
        <v>198</v>
      </c>
      <c r="D38" s="101">
        <f>(6200*1.15)/30</f>
        <v>237.66666666666663</v>
      </c>
      <c r="E38" s="102">
        <v>42</v>
      </c>
      <c r="F38" s="103">
        <f t="shared" si="2"/>
        <v>9981.9999999999982</v>
      </c>
    </row>
    <row r="39" spans="1:13" ht="45.6" customHeight="1">
      <c r="A39" s="56" t="s">
        <v>43</v>
      </c>
      <c r="B39" s="104" t="s">
        <v>199</v>
      </c>
      <c r="C39" s="104" t="s">
        <v>194</v>
      </c>
      <c r="D39" s="105">
        <v>700</v>
      </c>
      <c r="E39" s="106">
        <v>1</v>
      </c>
      <c r="F39" s="103">
        <f t="shared" si="2"/>
        <v>700</v>
      </c>
    </row>
    <row r="40" spans="1:13" ht="63.95" customHeight="1">
      <c r="A40" s="56" t="s">
        <v>11</v>
      </c>
      <c r="B40" s="95" t="s">
        <v>200</v>
      </c>
      <c r="C40" s="95" t="s">
        <v>216</v>
      </c>
      <c r="D40" s="107">
        <v>250</v>
      </c>
      <c r="E40" s="108">
        <v>28</v>
      </c>
      <c r="F40" s="103">
        <f t="shared" si="2"/>
        <v>7000</v>
      </c>
    </row>
    <row r="41" spans="1:13" ht="28.9" customHeight="1">
      <c r="A41" s="56" t="s">
        <v>201</v>
      </c>
      <c r="B41" s="49" t="s">
        <v>44</v>
      </c>
      <c r="C41" s="49" t="s">
        <v>52</v>
      </c>
      <c r="D41" s="83">
        <v>25000</v>
      </c>
      <c r="E41" s="57">
        <v>1</v>
      </c>
      <c r="F41" s="58">
        <f t="shared" si="2"/>
        <v>25000</v>
      </c>
    </row>
    <row r="42" spans="1:13" ht="27.6" customHeight="1">
      <c r="A42" s="188"/>
      <c r="B42" s="189"/>
      <c r="C42" s="190"/>
      <c r="D42" s="176" t="s">
        <v>165</v>
      </c>
      <c r="E42" s="176"/>
      <c r="F42" s="59">
        <f>SUM(F36:F41)</f>
        <v>55858.666666666664</v>
      </c>
    </row>
    <row r="43" spans="1:13" s="1" customFormat="1" ht="27.6" customHeight="1">
      <c r="A43" s="182" t="s">
        <v>96</v>
      </c>
      <c r="B43" s="183"/>
      <c r="C43" s="183"/>
      <c r="D43" s="183"/>
      <c r="E43" s="183"/>
      <c r="F43" s="184"/>
      <c r="H43" s="2"/>
      <c r="I43" s="2"/>
      <c r="J43" s="2"/>
      <c r="K43" s="2"/>
      <c r="L43" s="2"/>
      <c r="M43" s="2"/>
    </row>
    <row r="44" spans="1:13" s="1" customFormat="1" ht="27.6" customHeight="1">
      <c r="A44" s="29" t="s">
        <v>46</v>
      </c>
      <c r="B44" s="30" t="s">
        <v>47</v>
      </c>
      <c r="C44" s="30" t="s">
        <v>48</v>
      </c>
      <c r="D44" s="31" t="s">
        <v>49</v>
      </c>
      <c r="E44" s="31" t="s">
        <v>50</v>
      </c>
      <c r="F44" s="31" t="s">
        <v>51</v>
      </c>
      <c r="H44" s="2"/>
      <c r="I44" s="2"/>
      <c r="J44" s="2"/>
      <c r="K44" s="2"/>
      <c r="L44" s="2"/>
      <c r="M44" s="2"/>
    </row>
    <row r="45" spans="1:13" s="1" customFormat="1" ht="27.6" customHeight="1">
      <c r="A45" s="38" t="s">
        <v>144</v>
      </c>
      <c r="B45" s="39" t="s">
        <v>98</v>
      </c>
      <c r="C45" s="39"/>
      <c r="D45" s="84">
        <f>(50000*1.05)/30</f>
        <v>1750</v>
      </c>
      <c r="E45" s="32">
        <v>1</v>
      </c>
      <c r="F45" s="60">
        <f>D45*E45</f>
        <v>1750</v>
      </c>
      <c r="H45" s="2"/>
      <c r="I45" s="2"/>
      <c r="J45" s="2"/>
      <c r="K45" s="2"/>
      <c r="L45" s="2"/>
      <c r="M45" s="2"/>
    </row>
    <row r="46" spans="1:13" s="1" customFormat="1" ht="27.6" customHeight="1">
      <c r="A46" s="38" t="s">
        <v>145</v>
      </c>
      <c r="B46" s="39" t="s">
        <v>97</v>
      </c>
      <c r="C46" s="39"/>
      <c r="D46" s="84">
        <f>(35000*1.05)/30</f>
        <v>1225</v>
      </c>
      <c r="E46" s="32">
        <v>1</v>
      </c>
      <c r="F46" s="60">
        <f t="shared" ref="F46:F61" si="3">E46*D46</f>
        <v>1225</v>
      </c>
      <c r="H46" s="2"/>
      <c r="I46" s="2"/>
      <c r="J46" s="2"/>
      <c r="K46" s="2"/>
      <c r="L46" s="2"/>
      <c r="M46" s="2"/>
    </row>
    <row r="47" spans="1:13" s="1" customFormat="1" ht="27.6" customHeight="1">
      <c r="A47" s="38" t="s">
        <v>12</v>
      </c>
      <c r="B47" s="39" t="s">
        <v>99</v>
      </c>
      <c r="C47" s="39"/>
      <c r="D47" s="84">
        <f>(30000*1.05)/30</f>
        <v>1050</v>
      </c>
      <c r="E47" s="32">
        <v>1</v>
      </c>
      <c r="F47" s="60">
        <f t="shared" si="3"/>
        <v>1050</v>
      </c>
      <c r="H47" s="2"/>
      <c r="I47" s="2"/>
      <c r="J47" s="2"/>
      <c r="K47" s="2"/>
      <c r="L47" s="2"/>
      <c r="M47" s="2"/>
    </row>
    <row r="48" spans="1:13" s="1" customFormat="1" ht="27.6" customHeight="1">
      <c r="A48" s="38" t="s">
        <v>13</v>
      </c>
      <c r="B48" s="39" t="s">
        <v>102</v>
      </c>
      <c r="C48" s="39"/>
      <c r="D48" s="84">
        <f>(30000*1.05)/30</f>
        <v>1050</v>
      </c>
      <c r="E48" s="32">
        <v>1</v>
      </c>
      <c r="F48" s="60">
        <f t="shared" si="3"/>
        <v>1050</v>
      </c>
      <c r="H48" s="2"/>
      <c r="I48" s="2"/>
      <c r="J48" s="2"/>
      <c r="K48" s="2"/>
      <c r="L48" s="2"/>
      <c r="M48" s="2"/>
    </row>
    <row r="49" spans="1:13" s="1" customFormat="1" ht="46.9" customHeight="1">
      <c r="A49" s="38" t="s">
        <v>14</v>
      </c>
      <c r="B49" s="39" t="s">
        <v>174</v>
      </c>
      <c r="C49" s="39" t="s">
        <v>104</v>
      </c>
      <c r="D49" s="84">
        <f>(50000*1.05)/30</f>
        <v>1750</v>
      </c>
      <c r="E49" s="32">
        <v>1</v>
      </c>
      <c r="F49" s="60">
        <f t="shared" si="3"/>
        <v>1750</v>
      </c>
      <c r="H49" s="2"/>
      <c r="I49" s="2"/>
      <c r="J49" s="2"/>
      <c r="K49" s="2"/>
      <c r="L49" s="2"/>
      <c r="M49" s="2"/>
    </row>
    <row r="50" spans="1:13" s="1" customFormat="1" ht="27.6" customHeight="1">
      <c r="A50" s="38" t="s">
        <v>15</v>
      </c>
      <c r="B50" s="39" t="s">
        <v>105</v>
      </c>
      <c r="C50" s="39"/>
      <c r="D50" s="84">
        <f>(2500*1.05)/30</f>
        <v>87.5</v>
      </c>
      <c r="E50" s="32">
        <v>4</v>
      </c>
      <c r="F50" s="60">
        <f t="shared" si="3"/>
        <v>350</v>
      </c>
      <c r="H50" s="2"/>
      <c r="I50" s="2"/>
      <c r="J50" s="2"/>
      <c r="K50" s="2"/>
      <c r="L50" s="2"/>
      <c r="M50" s="2"/>
    </row>
    <row r="51" spans="1:13" s="1" customFormat="1" ht="27.6" customHeight="1">
      <c r="A51" s="38" t="s">
        <v>16</v>
      </c>
      <c r="B51" s="39" t="s">
        <v>107</v>
      </c>
      <c r="C51" s="39"/>
      <c r="D51" s="84">
        <f>(1000*1.05)/30</f>
        <v>35</v>
      </c>
      <c r="E51" s="32">
        <v>20</v>
      </c>
      <c r="F51" s="60">
        <f t="shared" si="3"/>
        <v>700</v>
      </c>
      <c r="H51" s="2"/>
      <c r="I51" s="2"/>
      <c r="J51" s="2"/>
      <c r="K51" s="2"/>
      <c r="L51" s="2"/>
      <c r="M51" s="2"/>
    </row>
    <row r="52" spans="1:13" s="1" customFormat="1" ht="27.6" customHeight="1">
      <c r="A52" s="38" t="s">
        <v>17</v>
      </c>
      <c r="B52" s="61" t="s">
        <v>108</v>
      </c>
      <c r="C52" s="61"/>
      <c r="D52" s="85">
        <f>(2000*1.05)/30</f>
        <v>70</v>
      </c>
      <c r="E52" s="63">
        <v>20</v>
      </c>
      <c r="F52" s="62">
        <f t="shared" si="3"/>
        <v>1400</v>
      </c>
      <c r="H52" s="2"/>
      <c r="I52" s="2"/>
      <c r="J52" s="2"/>
      <c r="K52" s="2"/>
      <c r="L52" s="2"/>
      <c r="M52" s="2"/>
    </row>
    <row r="53" spans="1:13" s="1" customFormat="1" ht="27.6" customHeight="1">
      <c r="A53" s="38" t="s">
        <v>18</v>
      </c>
      <c r="B53" s="185" t="s">
        <v>211</v>
      </c>
      <c r="C53" s="6" t="s">
        <v>109</v>
      </c>
      <c r="D53" s="86">
        <f>(30000*1.05)/30</f>
        <v>1050</v>
      </c>
      <c r="E53" s="37">
        <v>1</v>
      </c>
      <c r="F53" s="51">
        <f t="shared" si="3"/>
        <v>1050</v>
      </c>
      <c r="H53" s="2"/>
      <c r="I53" s="2"/>
      <c r="J53" s="2"/>
      <c r="K53" s="2"/>
      <c r="L53" s="2"/>
      <c r="M53" s="2"/>
    </row>
    <row r="54" spans="1:13" s="1" customFormat="1" ht="27.6" customHeight="1">
      <c r="A54" s="38" t="s">
        <v>146</v>
      </c>
      <c r="B54" s="185"/>
      <c r="C54" s="49" t="s">
        <v>110</v>
      </c>
      <c r="D54" s="86">
        <f>(30000*1.05)/30</f>
        <v>1050</v>
      </c>
      <c r="E54" s="37">
        <v>1</v>
      </c>
      <c r="F54" s="51">
        <f>E54*D54</f>
        <v>1050</v>
      </c>
      <c r="H54" s="2"/>
      <c r="I54" s="2"/>
      <c r="J54" s="2"/>
      <c r="K54" s="2"/>
      <c r="L54" s="2"/>
      <c r="M54" s="2"/>
    </row>
    <row r="55" spans="1:13" ht="31.7" customHeight="1">
      <c r="A55" s="38" t="s">
        <v>147</v>
      </c>
      <c r="B55" s="186" t="s">
        <v>111</v>
      </c>
      <c r="C55" s="64" t="s">
        <v>175</v>
      </c>
      <c r="D55" s="87">
        <f>(800*1.05)/30</f>
        <v>28</v>
      </c>
      <c r="E55" s="66">
        <v>140</v>
      </c>
      <c r="F55" s="65">
        <f t="shared" si="3"/>
        <v>3920</v>
      </c>
    </row>
    <row r="56" spans="1:13" ht="27.6" customHeight="1">
      <c r="A56" s="38" t="s">
        <v>148</v>
      </c>
      <c r="B56" s="187"/>
      <c r="C56" s="39" t="s">
        <v>113</v>
      </c>
      <c r="D56" s="84">
        <f>(60*1.05)/30</f>
        <v>2.1</v>
      </c>
      <c r="E56" s="32">
        <v>140</v>
      </c>
      <c r="F56" s="60">
        <f t="shared" si="3"/>
        <v>294</v>
      </c>
      <c r="G56" s="67"/>
    </row>
    <row r="57" spans="1:13">
      <c r="A57" s="38" t="s">
        <v>149</v>
      </c>
      <c r="B57" s="187"/>
      <c r="C57" s="39" t="s">
        <v>114</v>
      </c>
      <c r="D57" s="84">
        <f>(500*1.05)/30</f>
        <v>17.5</v>
      </c>
      <c r="E57" s="32">
        <v>140</v>
      </c>
      <c r="F57" s="60">
        <f t="shared" si="3"/>
        <v>2450</v>
      </c>
    </row>
    <row r="58" spans="1:13" ht="31.15" customHeight="1">
      <c r="A58" s="38" t="s">
        <v>150</v>
      </c>
      <c r="B58" s="39" t="s">
        <v>115</v>
      </c>
      <c r="C58" s="39" t="s">
        <v>116</v>
      </c>
      <c r="D58" s="84">
        <f>(7000*1.05)/30</f>
        <v>245</v>
      </c>
      <c r="E58" s="32">
        <v>20</v>
      </c>
      <c r="F58" s="60">
        <f t="shared" si="3"/>
        <v>4900</v>
      </c>
    </row>
    <row r="59" spans="1:13" ht="31.15" customHeight="1">
      <c r="A59" s="38" t="s">
        <v>151</v>
      </c>
      <c r="B59" s="39" t="s">
        <v>117</v>
      </c>
      <c r="C59" s="39"/>
      <c r="D59" s="84">
        <f>(30000*1.05)/30</f>
        <v>1050</v>
      </c>
      <c r="E59" s="32">
        <v>1</v>
      </c>
      <c r="F59" s="60">
        <f t="shared" si="3"/>
        <v>1050</v>
      </c>
    </row>
    <row r="60" spans="1:13" ht="27.6" customHeight="1">
      <c r="A60" s="38" t="s">
        <v>152</v>
      </c>
      <c r="B60" s="39" t="s">
        <v>118</v>
      </c>
      <c r="C60" s="39"/>
      <c r="D60" s="84">
        <f>(40000*1.05)/30</f>
        <v>1400</v>
      </c>
      <c r="E60" s="32">
        <v>1</v>
      </c>
      <c r="F60" s="60">
        <f t="shared" si="3"/>
        <v>1400</v>
      </c>
    </row>
    <row r="61" spans="1:13" ht="27.6" customHeight="1">
      <c r="A61" s="38" t="s">
        <v>153</v>
      </c>
      <c r="B61" s="39" t="s">
        <v>119</v>
      </c>
      <c r="C61" s="39"/>
      <c r="D61" s="78">
        <f>(50000*1.05)/30</f>
        <v>1750</v>
      </c>
      <c r="E61" s="42">
        <v>1</v>
      </c>
      <c r="F61" s="41">
        <f t="shared" si="3"/>
        <v>1750</v>
      </c>
    </row>
    <row r="62" spans="1:13" ht="27.6" customHeight="1">
      <c r="A62" s="177"/>
      <c r="B62" s="178"/>
      <c r="C62" s="179"/>
      <c r="D62" s="176" t="s">
        <v>165</v>
      </c>
      <c r="E62" s="176"/>
      <c r="F62" s="7">
        <f>SUM(F45:F61)</f>
        <v>27139</v>
      </c>
    </row>
    <row r="63" spans="1:13" ht="27.6" customHeight="1">
      <c r="A63" s="174" t="s">
        <v>157</v>
      </c>
      <c r="B63" s="174"/>
      <c r="C63" s="174"/>
      <c r="D63" s="174"/>
      <c r="E63" s="174"/>
      <c r="F63" s="174"/>
    </row>
    <row r="64" spans="1:13" ht="27.6" customHeight="1">
      <c r="A64" s="29" t="s">
        <v>46</v>
      </c>
      <c r="B64" s="30" t="s">
        <v>47</v>
      </c>
      <c r="C64" s="30" t="s">
        <v>48</v>
      </c>
      <c r="D64" s="31" t="s">
        <v>49</v>
      </c>
      <c r="E64" s="31" t="s">
        <v>50</v>
      </c>
      <c r="F64" s="31" t="s">
        <v>51</v>
      </c>
    </row>
    <row r="65" spans="1:13">
      <c r="A65" s="68" t="s">
        <v>19</v>
      </c>
      <c r="B65" s="39" t="s">
        <v>120</v>
      </c>
      <c r="C65" s="39" t="s">
        <v>121</v>
      </c>
      <c r="D65" s="84">
        <f>70/30</f>
        <v>2.3333333333333335</v>
      </c>
      <c r="E65" s="32">
        <v>700</v>
      </c>
      <c r="F65" s="60">
        <f t="shared" ref="F65:F67" si="4">D65*E65</f>
        <v>1633.3333333333335</v>
      </c>
    </row>
    <row r="66" spans="1:13" ht="27.6" customHeight="1">
      <c r="A66" s="68" t="s">
        <v>158</v>
      </c>
      <c r="B66" s="39" t="s">
        <v>123</v>
      </c>
      <c r="C66" s="39" t="s">
        <v>124</v>
      </c>
      <c r="D66" s="84">
        <f>53/30</f>
        <v>1.7666666666666666</v>
      </c>
      <c r="E66" s="32">
        <v>70</v>
      </c>
      <c r="F66" s="60">
        <f t="shared" si="4"/>
        <v>123.66666666666666</v>
      </c>
    </row>
    <row r="67" spans="1:13" s="1" customFormat="1" ht="27.6" customHeight="1">
      <c r="A67" s="68" t="s">
        <v>20</v>
      </c>
      <c r="B67" s="69" t="s">
        <v>125</v>
      </c>
      <c r="C67" s="69"/>
      <c r="D67" s="78">
        <f>(20*1.05)/30</f>
        <v>0.7</v>
      </c>
      <c r="E67" s="42">
        <v>400</v>
      </c>
      <c r="F67" s="41">
        <f t="shared" si="4"/>
        <v>280</v>
      </c>
      <c r="H67" s="2"/>
      <c r="I67" s="2"/>
      <c r="J67" s="2"/>
      <c r="K67" s="2"/>
      <c r="L67" s="2"/>
      <c r="M67" s="2"/>
    </row>
    <row r="68" spans="1:13" s="1" customFormat="1" ht="27.6" customHeight="1">
      <c r="A68" s="175"/>
      <c r="B68" s="175"/>
      <c r="C68" s="175"/>
      <c r="D68" s="176" t="s">
        <v>165</v>
      </c>
      <c r="E68" s="176"/>
      <c r="F68" s="7">
        <f>SUM(F65:F67)</f>
        <v>2037.0000000000002</v>
      </c>
      <c r="H68" s="2"/>
      <c r="I68" s="2"/>
      <c r="J68" s="2"/>
      <c r="K68" s="2"/>
      <c r="L68" s="2"/>
      <c r="M68" s="2"/>
    </row>
    <row r="69" spans="1:13" s="1" customFormat="1" ht="27.6" customHeight="1">
      <c r="A69" s="182" t="s">
        <v>159</v>
      </c>
      <c r="B69" s="183"/>
      <c r="C69" s="183"/>
      <c r="D69" s="183"/>
      <c r="E69" s="183"/>
      <c r="F69" s="184"/>
      <c r="H69" s="2"/>
      <c r="I69" s="2"/>
      <c r="J69" s="2"/>
      <c r="K69" s="2"/>
      <c r="L69" s="2"/>
      <c r="M69" s="2"/>
    </row>
    <row r="70" spans="1:13" s="1" customFormat="1" ht="27.6" customHeight="1">
      <c r="A70" s="29" t="s">
        <v>46</v>
      </c>
      <c r="B70" s="30" t="s">
        <v>47</v>
      </c>
      <c r="C70" s="30" t="s">
        <v>48</v>
      </c>
      <c r="D70" s="31" t="s">
        <v>49</v>
      </c>
      <c r="E70" s="31" t="s">
        <v>50</v>
      </c>
      <c r="F70" s="31" t="s">
        <v>51</v>
      </c>
      <c r="H70" s="2"/>
      <c r="I70" s="2"/>
      <c r="J70" s="2"/>
      <c r="K70" s="2"/>
      <c r="L70" s="2"/>
      <c r="M70" s="2"/>
    </row>
    <row r="71" spans="1:13" s="1" customFormat="1">
      <c r="A71" s="38" t="s">
        <v>160</v>
      </c>
      <c r="B71" s="61" t="s">
        <v>128</v>
      </c>
      <c r="C71" s="99" t="s">
        <v>205</v>
      </c>
      <c r="D71" s="78">
        <f>(25000*1.05)/30</f>
        <v>875</v>
      </c>
      <c r="E71" s="42">
        <v>32</v>
      </c>
      <c r="F71" s="41">
        <f>E71*D71</f>
        <v>28000</v>
      </c>
      <c r="H71" s="2"/>
      <c r="I71" s="2"/>
      <c r="J71" s="2"/>
      <c r="K71" s="2"/>
      <c r="L71" s="2"/>
      <c r="M71" s="2"/>
    </row>
    <row r="72" spans="1:13" s="1" customFormat="1" ht="27.6" customHeight="1">
      <c r="A72" s="38" t="s">
        <v>127</v>
      </c>
      <c r="B72" s="39" t="s">
        <v>129</v>
      </c>
      <c r="C72" s="39" t="s">
        <v>212</v>
      </c>
      <c r="D72" s="84">
        <f>(15000*1.05)/30</f>
        <v>525</v>
      </c>
      <c r="E72" s="32">
        <v>5</v>
      </c>
      <c r="F72" s="60">
        <f>+E72*D72</f>
        <v>2625</v>
      </c>
      <c r="H72" s="2"/>
      <c r="I72" s="2"/>
      <c r="J72" s="2"/>
      <c r="K72" s="2"/>
      <c r="L72" s="2"/>
      <c r="M72" s="2"/>
    </row>
    <row r="73" spans="1:13" s="1" customFormat="1" ht="27.6" customHeight="1">
      <c r="A73" s="38" t="s">
        <v>23</v>
      </c>
      <c r="B73" s="70" t="s">
        <v>131</v>
      </c>
      <c r="C73" s="39" t="s">
        <v>26</v>
      </c>
      <c r="D73" s="84">
        <f>(50000*1.05)/30</f>
        <v>1750</v>
      </c>
      <c r="E73" s="32">
        <v>2</v>
      </c>
      <c r="F73" s="60">
        <f>D73*E73</f>
        <v>3500</v>
      </c>
      <c r="H73" s="2"/>
      <c r="I73" s="2"/>
      <c r="J73" s="2"/>
      <c r="K73" s="2"/>
      <c r="L73" s="2"/>
      <c r="M73" s="2"/>
    </row>
    <row r="74" spans="1:13" s="1" customFormat="1" ht="27.6" customHeight="1">
      <c r="A74" s="38" t="s">
        <v>24</v>
      </c>
      <c r="B74" s="70" t="s">
        <v>132</v>
      </c>
      <c r="C74" s="39" t="s">
        <v>26</v>
      </c>
      <c r="D74" s="84">
        <f>(30000*1.05)/30</f>
        <v>1050</v>
      </c>
      <c r="E74" s="32">
        <v>2</v>
      </c>
      <c r="F74" s="60">
        <f>D74*E74</f>
        <v>2100</v>
      </c>
      <c r="H74" s="2"/>
      <c r="I74" s="2"/>
      <c r="J74" s="2"/>
      <c r="K74" s="2"/>
      <c r="L74" s="2"/>
      <c r="M74" s="2"/>
    </row>
    <row r="75" spans="1:13" s="1" customFormat="1" ht="27.6" customHeight="1">
      <c r="A75" s="177"/>
      <c r="B75" s="178"/>
      <c r="C75" s="179"/>
      <c r="D75" s="176" t="s">
        <v>165</v>
      </c>
      <c r="E75" s="176"/>
      <c r="F75" s="7">
        <f>SUM(F71:F74)</f>
        <v>36225</v>
      </c>
      <c r="H75" s="2"/>
      <c r="I75" s="2"/>
      <c r="J75" s="2"/>
      <c r="K75" s="2"/>
      <c r="L75" s="2"/>
      <c r="M75" s="2"/>
    </row>
    <row r="76" spans="1:13" s="1" customFormat="1" ht="27.6" customHeight="1">
      <c r="A76" s="174" t="s">
        <v>161</v>
      </c>
      <c r="B76" s="174"/>
      <c r="C76" s="174"/>
      <c r="D76" s="174"/>
      <c r="E76" s="174"/>
      <c r="F76" s="174"/>
      <c r="H76" s="2"/>
      <c r="I76" s="2"/>
      <c r="J76" s="2"/>
      <c r="K76" s="2"/>
      <c r="L76" s="2"/>
      <c r="M76" s="2"/>
    </row>
    <row r="77" spans="1:13" s="1" customFormat="1" ht="27.6" customHeight="1">
      <c r="A77" s="45" t="s">
        <v>46</v>
      </c>
      <c r="B77" s="46" t="s">
        <v>47</v>
      </c>
      <c r="C77" s="46" t="s">
        <v>48</v>
      </c>
      <c r="D77" s="31" t="s">
        <v>49</v>
      </c>
      <c r="E77" s="31" t="s">
        <v>50</v>
      </c>
      <c r="F77" s="31" t="s">
        <v>51</v>
      </c>
      <c r="H77" s="2"/>
      <c r="I77" s="2"/>
      <c r="J77" s="2"/>
      <c r="K77" s="2"/>
      <c r="L77" s="2"/>
      <c r="M77" s="2"/>
    </row>
    <row r="78" spans="1:13" s="1" customFormat="1" ht="27.6" customHeight="1">
      <c r="A78" s="47" t="s">
        <v>25</v>
      </c>
      <c r="B78" s="49" t="s">
        <v>133</v>
      </c>
      <c r="C78" s="49" t="s">
        <v>134</v>
      </c>
      <c r="D78" s="88">
        <f>18000/30</f>
        <v>600</v>
      </c>
      <c r="E78" s="37">
        <v>1</v>
      </c>
      <c r="F78" s="51">
        <f>+E78*D78</f>
        <v>600</v>
      </c>
      <c r="H78" s="2"/>
      <c r="I78" s="2"/>
      <c r="J78" s="2"/>
      <c r="K78" s="2"/>
      <c r="L78" s="2"/>
      <c r="M78" s="2"/>
    </row>
    <row r="79" spans="1:13" ht="38.25" customHeight="1">
      <c r="A79" s="47" t="s">
        <v>162</v>
      </c>
      <c r="B79" s="95" t="s">
        <v>69</v>
      </c>
      <c r="C79" s="95"/>
      <c r="D79" s="96">
        <f>(D5*0.03)</f>
        <v>7571.0999999999995</v>
      </c>
      <c r="E79" s="97">
        <v>1</v>
      </c>
      <c r="F79" s="98">
        <f>D79*E79</f>
        <v>7571.0999999999995</v>
      </c>
    </row>
    <row r="80" spans="1:13" s="1" customFormat="1" ht="27.6" customHeight="1">
      <c r="A80" s="47" t="s">
        <v>163</v>
      </c>
      <c r="B80" s="49" t="s">
        <v>136</v>
      </c>
      <c r="C80" s="49"/>
      <c r="D80" s="89">
        <f>(630000*1.05)/30</f>
        <v>22050</v>
      </c>
      <c r="E80" s="38">
        <v>1</v>
      </c>
      <c r="F80" s="60">
        <f>D80*E80</f>
        <v>22050</v>
      </c>
      <c r="H80" s="2"/>
      <c r="I80" s="2"/>
      <c r="J80" s="2"/>
      <c r="K80" s="2"/>
      <c r="L80" s="2"/>
      <c r="M80" s="2"/>
    </row>
    <row r="81" spans="1:13" s="1" customFormat="1">
      <c r="A81" s="47" t="s">
        <v>215</v>
      </c>
      <c r="B81" s="49" t="s">
        <v>135</v>
      </c>
      <c r="C81" s="49"/>
      <c r="D81" s="88">
        <f>60000/30</f>
        <v>2000</v>
      </c>
      <c r="E81" s="37">
        <v>1</v>
      </c>
      <c r="F81" s="51">
        <f>+E81*D81</f>
        <v>2000</v>
      </c>
      <c r="H81" s="2"/>
      <c r="I81" s="2"/>
      <c r="J81" s="2"/>
      <c r="K81" s="2"/>
      <c r="L81" s="2"/>
      <c r="M81" s="2"/>
    </row>
    <row r="82" spans="1:13" ht="27.6" customHeight="1">
      <c r="A82" s="188"/>
      <c r="B82" s="189"/>
      <c r="C82" s="190"/>
      <c r="D82" s="176" t="s">
        <v>165</v>
      </c>
      <c r="E82" s="176"/>
      <c r="F82" s="71">
        <f>SUM(F78:F81)</f>
        <v>32221.1</v>
      </c>
    </row>
    <row r="83" spans="1:13" ht="27.6" customHeight="1">
      <c r="A83" s="174" t="s">
        <v>164</v>
      </c>
      <c r="B83" s="174"/>
      <c r="C83" s="174"/>
      <c r="D83" s="174"/>
      <c r="E83" s="174"/>
      <c r="F83" s="174"/>
    </row>
    <row r="84" spans="1:13" ht="27.6" customHeight="1">
      <c r="A84" s="29" t="s">
        <v>46</v>
      </c>
      <c r="B84" s="30" t="s">
        <v>47</v>
      </c>
      <c r="C84" s="30" t="s">
        <v>48</v>
      </c>
      <c r="D84" s="31" t="s">
        <v>49</v>
      </c>
      <c r="E84" s="31" t="s">
        <v>50</v>
      </c>
      <c r="F84" s="31" t="s">
        <v>51</v>
      </c>
    </row>
    <row r="85" spans="1:13">
      <c r="A85" s="38" t="s">
        <v>27</v>
      </c>
      <c r="B85" s="39" t="s">
        <v>138</v>
      </c>
      <c r="C85" s="39" t="s">
        <v>139</v>
      </c>
      <c r="D85" s="84">
        <f>(100000*1.05)/30</f>
        <v>3500</v>
      </c>
      <c r="E85" s="32">
        <v>1</v>
      </c>
      <c r="F85" s="60">
        <f>D85*E85</f>
        <v>3500</v>
      </c>
    </row>
    <row r="86" spans="1:13" ht="24.2" customHeight="1">
      <c r="A86" s="38" t="s">
        <v>28</v>
      </c>
      <c r="B86" s="39" t="s">
        <v>140</v>
      </c>
      <c r="C86" s="39" t="s">
        <v>141</v>
      </c>
      <c r="D86" s="84">
        <f>(150000*1.05)/30</f>
        <v>5250</v>
      </c>
      <c r="E86" s="32">
        <v>1</v>
      </c>
      <c r="F86" s="60">
        <f>D86*E86</f>
        <v>5250</v>
      </c>
    </row>
    <row r="87" spans="1:13" ht="27.6" customHeight="1">
      <c r="A87" s="38" t="s">
        <v>137</v>
      </c>
      <c r="B87" s="39" t="s">
        <v>142</v>
      </c>
      <c r="C87" s="39" t="s">
        <v>143</v>
      </c>
      <c r="D87" s="84">
        <f>15000/30</f>
        <v>500</v>
      </c>
      <c r="E87" s="32">
        <v>2</v>
      </c>
      <c r="F87" s="60">
        <f>D87*E87</f>
        <v>1000</v>
      </c>
    </row>
    <row r="88" spans="1:13" ht="27.6" customHeight="1">
      <c r="A88" s="175"/>
      <c r="B88" s="175"/>
      <c r="C88" s="175"/>
      <c r="D88" s="176" t="s">
        <v>165</v>
      </c>
      <c r="E88" s="176"/>
      <c r="F88" s="7">
        <f>SUM(F85:F87)</f>
        <v>9750</v>
      </c>
    </row>
    <row r="89" spans="1:13" ht="27.6" customHeight="1">
      <c r="A89" s="177"/>
      <c r="B89" s="178"/>
      <c r="C89" s="178"/>
      <c r="D89" s="178"/>
      <c r="E89" s="178"/>
      <c r="F89" s="179"/>
      <c r="G89" s="8"/>
    </row>
    <row r="90" spans="1:13" ht="27.6" customHeight="1">
      <c r="A90" s="180" t="s">
        <v>167</v>
      </c>
      <c r="B90" s="180"/>
      <c r="C90" s="180"/>
      <c r="D90" s="181">
        <f>F88+F82+F75+F68+F62+F42+F33+F25+F12</f>
        <v>404734.1</v>
      </c>
      <c r="E90" s="181"/>
      <c r="F90" s="181"/>
      <c r="G90" s="8"/>
    </row>
    <row r="91" spans="1:13" ht="27.6" customHeight="1">
      <c r="A91" s="172" t="s">
        <v>168</v>
      </c>
      <c r="B91" s="172"/>
      <c r="C91" s="172"/>
      <c r="D91" s="173">
        <f>F6-D90</f>
        <v>208349.90000000002</v>
      </c>
      <c r="E91" s="173"/>
      <c r="F91" s="173"/>
      <c r="G91" s="8"/>
    </row>
    <row r="94" spans="1:13" ht="27.6" customHeight="1">
      <c r="G94" s="8"/>
    </row>
    <row r="96" spans="1:13" ht="27.6" customHeight="1">
      <c r="G96" s="8"/>
    </row>
    <row r="97" spans="7:7" ht="27.6" customHeight="1">
      <c r="G97" s="8"/>
    </row>
    <row r="98" spans="7:7" ht="27.6" customHeight="1">
      <c r="G98" s="9"/>
    </row>
  </sheetData>
  <mergeCells count="41">
    <mergeCell ref="A1:F1"/>
    <mergeCell ref="A2:F2"/>
    <mergeCell ref="A63:F63"/>
    <mergeCell ref="A33:C33"/>
    <mergeCell ref="D33:E33"/>
    <mergeCell ref="A34:F34"/>
    <mergeCell ref="A62:C62"/>
    <mergeCell ref="D62:E62"/>
    <mergeCell ref="A6:C6"/>
    <mergeCell ref="D6:E6"/>
    <mergeCell ref="A7:F7"/>
    <mergeCell ref="A8:F8"/>
    <mergeCell ref="A9:F9"/>
    <mergeCell ref="A12:C12"/>
    <mergeCell ref="D12:E12"/>
    <mergeCell ref="A13:F13"/>
    <mergeCell ref="B19:B21"/>
    <mergeCell ref="A25:C25"/>
    <mergeCell ref="D25:E25"/>
    <mergeCell ref="A26:F26"/>
    <mergeCell ref="A42:C42"/>
    <mergeCell ref="D42:E42"/>
    <mergeCell ref="A43:F43"/>
    <mergeCell ref="B53:B54"/>
    <mergeCell ref="B55:B57"/>
    <mergeCell ref="A76:F76"/>
    <mergeCell ref="A82:C82"/>
    <mergeCell ref="D82:E82"/>
    <mergeCell ref="A68:C68"/>
    <mergeCell ref="D68:E68"/>
    <mergeCell ref="A69:F69"/>
    <mergeCell ref="A75:C75"/>
    <mergeCell ref="D75:E75"/>
    <mergeCell ref="A91:C91"/>
    <mergeCell ref="D91:F91"/>
    <mergeCell ref="A83:F83"/>
    <mergeCell ref="A88:C88"/>
    <mergeCell ref="D88:E88"/>
    <mergeCell ref="A89:F89"/>
    <mergeCell ref="A90:C90"/>
    <mergeCell ref="D90:F90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0F42-CF6C-4671-B12F-EB8ADBF8B9BC}">
  <dimension ref="A1:M98"/>
  <sheetViews>
    <sheetView zoomScale="85" zoomScaleNormal="85" workbookViewId="0">
      <selection activeCell="D5" sqref="D5"/>
    </sheetView>
  </sheetViews>
  <sheetFormatPr defaultColWidth="8.875" defaultRowHeight="16.5"/>
  <cols>
    <col min="1" max="1" width="8.875" style="2"/>
    <col min="2" max="2" width="35.375" style="2" customWidth="1"/>
    <col min="3" max="3" width="50.25" style="2" customWidth="1"/>
    <col min="4" max="4" width="16.25" style="2" customWidth="1"/>
    <col min="5" max="5" width="10.25" style="2" bestFit="1" customWidth="1"/>
    <col min="6" max="6" width="29.875" style="2" customWidth="1"/>
    <col min="7" max="7" width="14.125" style="1" bestFit="1" customWidth="1"/>
    <col min="8" max="12" width="8.875" style="2"/>
    <col min="13" max="13" width="15.25" style="2" bestFit="1" customWidth="1"/>
    <col min="14" max="16384" width="8.875" style="2"/>
  </cols>
  <sheetData>
    <row r="1" spans="1:6" ht="27.6" customHeight="1">
      <c r="A1" s="196" t="s">
        <v>45</v>
      </c>
      <c r="B1" s="196"/>
      <c r="C1" s="196"/>
      <c r="D1" s="196"/>
      <c r="E1" s="196"/>
      <c r="F1" s="196"/>
    </row>
    <row r="2" spans="1:6" ht="27.6" customHeight="1">
      <c r="A2" s="197" t="s">
        <v>56</v>
      </c>
      <c r="B2" s="197"/>
      <c r="C2" s="197"/>
      <c r="D2" s="197"/>
      <c r="E2" s="197"/>
      <c r="F2" s="197"/>
    </row>
    <row r="3" spans="1:6" ht="27.6" customHeight="1">
      <c r="A3" s="29" t="s">
        <v>46</v>
      </c>
      <c r="B3" s="30" t="s">
        <v>47</v>
      </c>
      <c r="C3" s="30" t="s">
        <v>48</v>
      </c>
      <c r="D3" s="31" t="s">
        <v>49</v>
      </c>
      <c r="E3" s="31" t="s">
        <v>50</v>
      </c>
      <c r="F3" s="31" t="s">
        <v>51</v>
      </c>
    </row>
    <row r="4" spans="1:6" ht="27.6" customHeight="1">
      <c r="A4" s="32">
        <v>1</v>
      </c>
      <c r="B4" s="33" t="s">
        <v>53</v>
      </c>
      <c r="C4" s="34"/>
      <c r="D4" s="80">
        <f>10821420/30</f>
        <v>360714</v>
      </c>
      <c r="E4" s="32">
        <v>1</v>
      </c>
      <c r="F4" s="43">
        <f>D4*E4</f>
        <v>360714</v>
      </c>
    </row>
    <row r="5" spans="1:6" ht="26.45" customHeight="1">
      <c r="A5" s="32">
        <v>2</v>
      </c>
      <c r="B5" s="35" t="s">
        <v>54</v>
      </c>
      <c r="C5" s="36"/>
      <c r="D5" s="81">
        <f>'Registration Fee'!Z52/30</f>
        <v>289400</v>
      </c>
      <c r="E5" s="37">
        <v>1</v>
      </c>
      <c r="F5" s="43">
        <f>D5*E5</f>
        <v>289400</v>
      </c>
    </row>
    <row r="6" spans="1:6" ht="27.6" customHeight="1">
      <c r="A6" s="172"/>
      <c r="B6" s="172"/>
      <c r="C6" s="172"/>
      <c r="D6" s="199" t="s">
        <v>166</v>
      </c>
      <c r="E6" s="200"/>
      <c r="F6" s="77">
        <f>D4+D5</f>
        <v>650114</v>
      </c>
    </row>
    <row r="7" spans="1:6" ht="27.6" customHeight="1">
      <c r="A7" s="201"/>
      <c r="B7" s="202"/>
      <c r="C7" s="202"/>
      <c r="D7" s="202"/>
      <c r="E7" s="202"/>
      <c r="F7" s="203"/>
    </row>
    <row r="8" spans="1:6" ht="27.6" customHeight="1">
      <c r="A8" s="230" t="s">
        <v>57</v>
      </c>
      <c r="B8" s="230"/>
      <c r="C8" s="230"/>
      <c r="D8" s="230"/>
      <c r="E8" s="230"/>
      <c r="F8" s="230"/>
    </row>
    <row r="9" spans="1:6" ht="27.6" customHeight="1">
      <c r="A9" s="222" t="s">
        <v>70</v>
      </c>
      <c r="B9" s="223"/>
      <c r="C9" s="223"/>
      <c r="D9" s="223"/>
      <c r="E9" s="223"/>
      <c r="F9" s="223"/>
    </row>
    <row r="10" spans="1:6" ht="27.6" customHeight="1">
      <c r="A10" s="122" t="s">
        <v>46</v>
      </c>
      <c r="B10" s="123" t="s">
        <v>47</v>
      </c>
      <c r="C10" s="123" t="s">
        <v>48</v>
      </c>
      <c r="D10" s="124" t="s">
        <v>49</v>
      </c>
      <c r="E10" s="124" t="s">
        <v>50</v>
      </c>
      <c r="F10" s="124" t="s">
        <v>51</v>
      </c>
    </row>
    <row r="11" spans="1:6" ht="27.6" customHeight="1">
      <c r="A11" s="125" t="s">
        <v>1</v>
      </c>
      <c r="B11" s="99" t="s">
        <v>55</v>
      </c>
      <c r="C11" s="126"/>
      <c r="D11" s="127">
        <f>2200000/30</f>
        <v>73333.333333333328</v>
      </c>
      <c r="E11" s="128">
        <v>1</v>
      </c>
      <c r="F11" s="129">
        <f>D11*E11</f>
        <v>73333.333333333328</v>
      </c>
    </row>
    <row r="12" spans="1:6" s="1" customFormat="1" ht="27.6" customHeight="1">
      <c r="A12" s="219"/>
      <c r="B12" s="220"/>
      <c r="C12" s="221"/>
      <c r="D12" s="211" t="s">
        <v>165</v>
      </c>
      <c r="E12" s="211"/>
      <c r="F12" s="130">
        <f>SUM(F11:F11)</f>
        <v>73333.333333333328</v>
      </c>
    </row>
    <row r="13" spans="1:6" s="1" customFormat="1" ht="27.6" customHeight="1">
      <c r="A13" s="224" t="s">
        <v>71</v>
      </c>
      <c r="B13" s="225"/>
      <c r="C13" s="225"/>
      <c r="D13" s="225"/>
      <c r="E13" s="225"/>
      <c r="F13" s="226"/>
    </row>
    <row r="14" spans="1:6" s="1" customFormat="1" ht="27.6" customHeight="1">
      <c r="A14" s="122" t="s">
        <v>46</v>
      </c>
      <c r="B14" s="123" t="s">
        <v>47</v>
      </c>
      <c r="C14" s="123" t="s">
        <v>48</v>
      </c>
      <c r="D14" s="124" t="s">
        <v>49</v>
      </c>
      <c r="E14" s="124" t="s">
        <v>50</v>
      </c>
      <c r="F14" s="124" t="s">
        <v>51</v>
      </c>
    </row>
    <row r="15" spans="1:6" s="1" customFormat="1" ht="27.6" customHeight="1">
      <c r="A15" s="131" t="s">
        <v>3</v>
      </c>
      <c r="B15" s="132" t="s">
        <v>58</v>
      </c>
      <c r="C15" s="95" t="s">
        <v>172</v>
      </c>
      <c r="D15" s="107">
        <f>1000000/30</f>
        <v>33333.333333333336</v>
      </c>
      <c r="E15" s="108">
        <v>1</v>
      </c>
      <c r="F15" s="118">
        <f t="shared" ref="F15:F24" si="0">D15*E15</f>
        <v>33333.333333333336</v>
      </c>
    </row>
    <row r="16" spans="1:6" s="1" customFormat="1" ht="40.9" customHeight="1">
      <c r="A16" s="131" t="s">
        <v>75</v>
      </c>
      <c r="B16" s="99" t="s">
        <v>84</v>
      </c>
      <c r="C16" s="99" t="s">
        <v>206</v>
      </c>
      <c r="D16" s="109">
        <f>5000/30</f>
        <v>166.66666666666666</v>
      </c>
      <c r="E16" s="110">
        <v>17</v>
      </c>
      <c r="F16" s="111">
        <f t="shared" si="0"/>
        <v>2833.333333333333</v>
      </c>
    </row>
    <row r="17" spans="1:6" s="1" customFormat="1" ht="27.6" customHeight="1">
      <c r="A17" s="131" t="s">
        <v>76</v>
      </c>
      <c r="B17" s="112" t="s">
        <v>85</v>
      </c>
      <c r="C17" s="112" t="s">
        <v>176</v>
      </c>
      <c r="D17" s="113">
        <f>(85000*1.05)/30</f>
        <v>2975</v>
      </c>
      <c r="E17" s="114">
        <v>6</v>
      </c>
      <c r="F17" s="111">
        <f t="shared" si="0"/>
        <v>17850</v>
      </c>
    </row>
    <row r="18" spans="1:6" s="1" customFormat="1" ht="27.6" customHeight="1">
      <c r="A18" s="131" t="s">
        <v>77</v>
      </c>
      <c r="B18" s="112" t="s">
        <v>87</v>
      </c>
      <c r="C18" s="112"/>
      <c r="D18" s="113">
        <f>(12000*1.05)/30</f>
        <v>420</v>
      </c>
      <c r="E18" s="114">
        <v>1</v>
      </c>
      <c r="F18" s="115">
        <f t="shared" si="0"/>
        <v>420</v>
      </c>
    </row>
    <row r="19" spans="1:6" s="1" customFormat="1" ht="27.6" customHeight="1">
      <c r="A19" s="131" t="s">
        <v>78</v>
      </c>
      <c r="B19" s="191" t="s">
        <v>91</v>
      </c>
      <c r="C19" s="95" t="s">
        <v>89</v>
      </c>
      <c r="D19" s="116">
        <f>(180000*1.05)/30</f>
        <v>6300</v>
      </c>
      <c r="E19" s="117">
        <v>1</v>
      </c>
      <c r="F19" s="118">
        <f t="shared" si="0"/>
        <v>6300</v>
      </c>
    </row>
    <row r="20" spans="1:6" s="1" customFormat="1" ht="27.6" customHeight="1">
      <c r="A20" s="131" t="s">
        <v>79</v>
      </c>
      <c r="B20" s="191"/>
      <c r="C20" s="95" t="s">
        <v>88</v>
      </c>
      <c r="D20" s="116">
        <f>(120000*1.05)/30</f>
        <v>4200</v>
      </c>
      <c r="E20" s="117">
        <v>5</v>
      </c>
      <c r="F20" s="118">
        <f t="shared" si="0"/>
        <v>21000</v>
      </c>
    </row>
    <row r="21" spans="1:6" s="1" customFormat="1" ht="27.6" customHeight="1">
      <c r="A21" s="131" t="s">
        <v>80</v>
      </c>
      <c r="B21" s="192"/>
      <c r="C21" s="104" t="s">
        <v>90</v>
      </c>
      <c r="D21" s="119">
        <f>(15000*1.05)/30</f>
        <v>525</v>
      </c>
      <c r="E21" s="120">
        <v>10</v>
      </c>
      <c r="F21" s="121">
        <f t="shared" si="0"/>
        <v>5250</v>
      </c>
    </row>
    <row r="22" spans="1:6" s="1" customFormat="1" ht="27.6" customHeight="1">
      <c r="A22" s="131" t="s">
        <v>81</v>
      </c>
      <c r="B22" s="95" t="s">
        <v>92</v>
      </c>
      <c r="C22" s="95" t="s">
        <v>93</v>
      </c>
      <c r="D22" s="116">
        <f>(23000*1.05)/30</f>
        <v>805</v>
      </c>
      <c r="E22" s="117">
        <v>1</v>
      </c>
      <c r="F22" s="118">
        <f t="shared" si="0"/>
        <v>805</v>
      </c>
    </row>
    <row r="23" spans="1:6" s="1" customFormat="1" ht="27.6" customHeight="1">
      <c r="A23" s="131" t="s">
        <v>82</v>
      </c>
      <c r="B23" s="95" t="s">
        <v>203</v>
      </c>
      <c r="C23" s="95" t="s">
        <v>204</v>
      </c>
      <c r="D23" s="116">
        <v>1000</v>
      </c>
      <c r="E23" s="117">
        <v>5</v>
      </c>
      <c r="F23" s="118">
        <f t="shared" si="0"/>
        <v>5000</v>
      </c>
    </row>
    <row r="24" spans="1:6" s="1" customFormat="1" ht="27.6" customHeight="1">
      <c r="A24" s="131" t="s">
        <v>83</v>
      </c>
      <c r="B24" s="95" t="s">
        <v>94</v>
      </c>
      <c r="C24" s="95" t="s">
        <v>95</v>
      </c>
      <c r="D24" s="116">
        <f>(500*1.05)/30</f>
        <v>17.5</v>
      </c>
      <c r="E24" s="117">
        <v>8</v>
      </c>
      <c r="F24" s="118">
        <f t="shared" si="0"/>
        <v>140</v>
      </c>
    </row>
    <row r="25" spans="1:6" s="1" customFormat="1" ht="27.6" customHeight="1">
      <c r="A25" s="227"/>
      <c r="B25" s="228"/>
      <c r="C25" s="229"/>
      <c r="D25" s="211" t="s">
        <v>165</v>
      </c>
      <c r="E25" s="211"/>
      <c r="F25" s="133">
        <f>SUM(F15:F24)</f>
        <v>92931.666666666672</v>
      </c>
    </row>
    <row r="26" spans="1:6" s="1" customFormat="1" ht="27.6" customHeight="1">
      <c r="A26" s="212" t="s">
        <v>72</v>
      </c>
      <c r="B26" s="212"/>
      <c r="C26" s="212"/>
      <c r="D26" s="212"/>
      <c r="E26" s="212"/>
      <c r="F26" s="212"/>
    </row>
    <row r="27" spans="1:6" s="1" customFormat="1" ht="27.6" customHeight="1">
      <c r="A27" s="122" t="s">
        <v>46</v>
      </c>
      <c r="B27" s="123" t="s">
        <v>47</v>
      </c>
      <c r="C27" s="123" t="s">
        <v>48</v>
      </c>
      <c r="D27" s="124" t="s">
        <v>49</v>
      </c>
      <c r="E27" s="124" t="s">
        <v>50</v>
      </c>
      <c r="F27" s="124" t="s">
        <v>51</v>
      </c>
    </row>
    <row r="28" spans="1:6" s="1" customFormat="1" ht="27.6" customHeight="1">
      <c r="A28" s="134" t="s">
        <v>4</v>
      </c>
      <c r="B28" s="135" t="s">
        <v>59</v>
      </c>
      <c r="C28" s="136" t="s">
        <v>169</v>
      </c>
      <c r="D28" s="127">
        <f>220/30</f>
        <v>7.333333333333333</v>
      </c>
      <c r="E28" s="128">
        <v>700</v>
      </c>
      <c r="F28" s="137">
        <f>SUM(D28*E28)</f>
        <v>5133.333333333333</v>
      </c>
    </row>
    <row r="29" spans="1:6" s="1" customFormat="1" ht="27.6" customHeight="1">
      <c r="A29" s="134" t="s">
        <v>5</v>
      </c>
      <c r="B29" s="135" t="s">
        <v>60</v>
      </c>
      <c r="C29" s="136" t="s">
        <v>170</v>
      </c>
      <c r="D29" s="127">
        <f>260/30</f>
        <v>8.6666666666666661</v>
      </c>
      <c r="E29" s="128">
        <v>2240</v>
      </c>
      <c r="F29" s="137">
        <f t="shared" ref="F29:F31" si="1">SUM(D29*E29)</f>
        <v>19413.333333333332</v>
      </c>
    </row>
    <row r="30" spans="1:6" s="1" customFormat="1" ht="38.25" customHeight="1">
      <c r="A30" s="134" t="s">
        <v>6</v>
      </c>
      <c r="B30" s="135" t="s">
        <v>61</v>
      </c>
      <c r="C30" s="136" t="s">
        <v>171</v>
      </c>
      <c r="D30" s="127">
        <f>285/30</f>
        <v>9.5</v>
      </c>
      <c r="E30" s="128">
        <v>2870</v>
      </c>
      <c r="F30" s="137">
        <f t="shared" si="1"/>
        <v>27265</v>
      </c>
    </row>
    <row r="31" spans="1:6" s="1" customFormat="1" ht="27.6" customHeight="1">
      <c r="A31" s="134" t="s">
        <v>7</v>
      </c>
      <c r="B31" s="135" t="s">
        <v>8</v>
      </c>
      <c r="C31" s="136" t="s">
        <v>66</v>
      </c>
      <c r="D31" s="127">
        <f>600/30</f>
        <v>20</v>
      </c>
      <c r="E31" s="128">
        <v>350</v>
      </c>
      <c r="F31" s="137">
        <f t="shared" si="1"/>
        <v>7000</v>
      </c>
    </row>
    <row r="32" spans="1:6" s="1" customFormat="1" ht="27.6" customHeight="1">
      <c r="A32" s="134" t="s">
        <v>9</v>
      </c>
      <c r="B32" s="135" t="s">
        <v>62</v>
      </c>
      <c r="C32" s="136" t="s">
        <v>67</v>
      </c>
      <c r="D32" s="127">
        <f>(16000*1.1)/30</f>
        <v>586.66666666666663</v>
      </c>
      <c r="E32" s="128">
        <v>28</v>
      </c>
      <c r="F32" s="137">
        <f>SUM(D32*E32)</f>
        <v>16426.666666666664</v>
      </c>
    </row>
    <row r="33" spans="1:13" s="1" customFormat="1" ht="27.6" customHeight="1">
      <c r="A33" s="219"/>
      <c r="B33" s="209"/>
      <c r="C33" s="221"/>
      <c r="D33" s="211" t="s">
        <v>165</v>
      </c>
      <c r="E33" s="211"/>
      <c r="F33" s="138">
        <f>SUM(F28:F32)</f>
        <v>75238.333333333328</v>
      </c>
    </row>
    <row r="34" spans="1:13" s="1" customFormat="1" ht="27.6" customHeight="1">
      <c r="A34" s="222" t="s">
        <v>73</v>
      </c>
      <c r="B34" s="222"/>
      <c r="C34" s="222"/>
      <c r="D34" s="222"/>
      <c r="E34" s="222"/>
      <c r="F34" s="222"/>
    </row>
    <row r="35" spans="1:13" s="1" customFormat="1" ht="27.6" customHeight="1">
      <c r="A35" s="139" t="s">
        <v>46</v>
      </c>
      <c r="B35" s="140" t="s">
        <v>47</v>
      </c>
      <c r="C35" s="140" t="s">
        <v>48</v>
      </c>
      <c r="D35" s="124" t="s">
        <v>49</v>
      </c>
      <c r="E35" s="124" t="s">
        <v>50</v>
      </c>
      <c r="F35" s="124" t="s">
        <v>51</v>
      </c>
    </row>
    <row r="36" spans="1:13" ht="27.6" customHeight="1">
      <c r="A36" s="141" t="s">
        <v>74</v>
      </c>
      <c r="B36" s="95" t="s">
        <v>68</v>
      </c>
      <c r="C36" s="95"/>
      <c r="D36" s="101">
        <f>50000/30</f>
        <v>1666.6666666666667</v>
      </c>
      <c r="E36" s="102">
        <v>4</v>
      </c>
      <c r="F36" s="103">
        <f t="shared" ref="F36:F41" si="2">D36*E36</f>
        <v>6666.666666666667</v>
      </c>
    </row>
    <row r="37" spans="1:13" ht="47.25" customHeight="1">
      <c r="A37" s="141" t="s">
        <v>10</v>
      </c>
      <c r="B37" s="100" t="s">
        <v>195</v>
      </c>
      <c r="C37" s="95" t="s">
        <v>196</v>
      </c>
      <c r="D37" s="101">
        <f>(3000*1.05)/30</f>
        <v>105</v>
      </c>
      <c r="E37" s="102">
        <v>62</v>
      </c>
      <c r="F37" s="103">
        <f t="shared" si="2"/>
        <v>6510</v>
      </c>
    </row>
    <row r="38" spans="1:13" ht="36.4" customHeight="1">
      <c r="A38" s="141" t="s">
        <v>42</v>
      </c>
      <c r="B38" s="100" t="s">
        <v>197</v>
      </c>
      <c r="C38" s="95" t="s">
        <v>198</v>
      </c>
      <c r="D38" s="101">
        <f>(6200*1.15)/30</f>
        <v>237.66666666666663</v>
      </c>
      <c r="E38" s="102">
        <v>42</v>
      </c>
      <c r="F38" s="103">
        <f t="shared" si="2"/>
        <v>9981.9999999999982</v>
      </c>
    </row>
    <row r="39" spans="1:13" ht="36.4" customHeight="1">
      <c r="A39" s="141" t="s">
        <v>43</v>
      </c>
      <c r="B39" s="104" t="s">
        <v>199</v>
      </c>
      <c r="C39" s="104" t="s">
        <v>194</v>
      </c>
      <c r="D39" s="105">
        <v>700</v>
      </c>
      <c r="E39" s="106">
        <v>1</v>
      </c>
      <c r="F39" s="103">
        <f t="shared" si="2"/>
        <v>700</v>
      </c>
    </row>
    <row r="40" spans="1:13" ht="59.85" customHeight="1">
      <c r="A40" s="141" t="s">
        <v>11</v>
      </c>
      <c r="B40" s="95" t="s">
        <v>200</v>
      </c>
      <c r="C40" s="95" t="s">
        <v>216</v>
      </c>
      <c r="D40" s="107">
        <v>250</v>
      </c>
      <c r="E40" s="108">
        <v>28</v>
      </c>
      <c r="F40" s="103">
        <f t="shared" si="2"/>
        <v>7000</v>
      </c>
    </row>
    <row r="41" spans="1:13" ht="28.9" customHeight="1">
      <c r="A41" s="141" t="s">
        <v>202</v>
      </c>
      <c r="B41" s="95" t="s">
        <v>44</v>
      </c>
      <c r="C41" s="95" t="s">
        <v>52</v>
      </c>
      <c r="D41" s="96">
        <v>25000</v>
      </c>
      <c r="E41" s="97">
        <v>1</v>
      </c>
      <c r="F41" s="98">
        <f t="shared" si="2"/>
        <v>25000</v>
      </c>
    </row>
    <row r="42" spans="1:13" ht="27.6" customHeight="1">
      <c r="A42" s="208"/>
      <c r="B42" s="209"/>
      <c r="C42" s="210"/>
      <c r="D42" s="211" t="s">
        <v>165</v>
      </c>
      <c r="E42" s="211"/>
      <c r="F42" s="142">
        <f>SUM(F36:F41)</f>
        <v>55858.666666666664</v>
      </c>
    </row>
    <row r="43" spans="1:13" s="1" customFormat="1" ht="27.6" customHeight="1">
      <c r="A43" s="214" t="s">
        <v>96</v>
      </c>
      <c r="B43" s="215"/>
      <c r="C43" s="215"/>
      <c r="D43" s="215"/>
      <c r="E43" s="215"/>
      <c r="F43" s="216"/>
      <c r="H43" s="2"/>
      <c r="I43" s="2"/>
      <c r="J43" s="2"/>
      <c r="K43" s="2"/>
      <c r="L43" s="2"/>
      <c r="M43" s="2"/>
    </row>
    <row r="44" spans="1:13" s="1" customFormat="1" ht="27.6" customHeight="1">
      <c r="A44" s="122" t="s">
        <v>46</v>
      </c>
      <c r="B44" s="123" t="s">
        <v>47</v>
      </c>
      <c r="C44" s="123" t="s">
        <v>48</v>
      </c>
      <c r="D44" s="124" t="s">
        <v>49</v>
      </c>
      <c r="E44" s="124" t="s">
        <v>50</v>
      </c>
      <c r="F44" s="124" t="s">
        <v>51</v>
      </c>
      <c r="H44" s="2"/>
      <c r="I44" s="2"/>
      <c r="J44" s="2"/>
      <c r="K44" s="2"/>
      <c r="L44" s="2"/>
      <c r="M44" s="2"/>
    </row>
    <row r="45" spans="1:13" s="1" customFormat="1" ht="27.6" customHeight="1">
      <c r="A45" s="125" t="s">
        <v>144</v>
      </c>
      <c r="B45" s="99" t="s">
        <v>98</v>
      </c>
      <c r="C45" s="99"/>
      <c r="D45" s="109">
        <f>(50000*1.05)/30</f>
        <v>1750</v>
      </c>
      <c r="E45" s="110">
        <v>1</v>
      </c>
      <c r="F45" s="111">
        <f>D45*E45</f>
        <v>1750</v>
      </c>
      <c r="H45" s="2"/>
      <c r="I45" s="2"/>
      <c r="J45" s="2"/>
      <c r="K45" s="2"/>
      <c r="L45" s="2"/>
      <c r="M45" s="2"/>
    </row>
    <row r="46" spans="1:13" s="1" customFormat="1" ht="27.6" customHeight="1">
      <c r="A46" s="125" t="s">
        <v>145</v>
      </c>
      <c r="B46" s="99" t="s">
        <v>97</v>
      </c>
      <c r="C46" s="99"/>
      <c r="D46" s="109">
        <f>(35000*1.05)/30</f>
        <v>1225</v>
      </c>
      <c r="E46" s="110">
        <v>1</v>
      </c>
      <c r="F46" s="111">
        <f t="shared" ref="F46:F61" si="3">E46*D46</f>
        <v>1225</v>
      </c>
      <c r="H46" s="2"/>
      <c r="I46" s="2"/>
      <c r="J46" s="2"/>
      <c r="K46" s="2"/>
      <c r="L46" s="2"/>
      <c r="M46" s="2"/>
    </row>
    <row r="47" spans="1:13" s="1" customFormat="1" ht="27.6" customHeight="1">
      <c r="A47" s="125" t="s">
        <v>12</v>
      </c>
      <c r="B47" s="99" t="s">
        <v>99</v>
      </c>
      <c r="C47" s="99"/>
      <c r="D47" s="109">
        <f>(30000*1.05)/30</f>
        <v>1050</v>
      </c>
      <c r="E47" s="110">
        <v>1</v>
      </c>
      <c r="F47" s="111">
        <f t="shared" si="3"/>
        <v>1050</v>
      </c>
      <c r="H47" s="2"/>
      <c r="I47" s="2"/>
      <c r="J47" s="2"/>
      <c r="K47" s="2"/>
      <c r="L47" s="2"/>
      <c r="M47" s="2"/>
    </row>
    <row r="48" spans="1:13" s="1" customFormat="1" ht="27.6" customHeight="1">
      <c r="A48" s="125" t="s">
        <v>13</v>
      </c>
      <c r="B48" s="99" t="s">
        <v>102</v>
      </c>
      <c r="C48" s="99"/>
      <c r="D48" s="109">
        <f>(30000*1.05)/30</f>
        <v>1050</v>
      </c>
      <c r="E48" s="110">
        <v>1</v>
      </c>
      <c r="F48" s="111">
        <f t="shared" si="3"/>
        <v>1050</v>
      </c>
      <c r="H48" s="2"/>
      <c r="I48" s="2"/>
      <c r="J48" s="2"/>
      <c r="K48" s="2"/>
      <c r="L48" s="2"/>
      <c r="M48" s="2"/>
    </row>
    <row r="49" spans="1:13" s="1" customFormat="1" ht="46.9" customHeight="1">
      <c r="A49" s="125" t="s">
        <v>14</v>
      </c>
      <c r="B49" s="99" t="s">
        <v>174</v>
      </c>
      <c r="C49" s="99" t="s">
        <v>104</v>
      </c>
      <c r="D49" s="109">
        <f>(50000*1.05)/30</f>
        <v>1750</v>
      </c>
      <c r="E49" s="110">
        <v>1</v>
      </c>
      <c r="F49" s="111">
        <f t="shared" si="3"/>
        <v>1750</v>
      </c>
      <c r="H49" s="2"/>
      <c r="I49" s="2"/>
      <c r="J49" s="2"/>
      <c r="K49" s="2"/>
      <c r="L49" s="2"/>
      <c r="M49" s="2"/>
    </row>
    <row r="50" spans="1:13" s="1" customFormat="1" ht="27.6" customHeight="1">
      <c r="A50" s="125" t="s">
        <v>15</v>
      </c>
      <c r="B50" s="99" t="s">
        <v>105</v>
      </c>
      <c r="C50" s="99"/>
      <c r="D50" s="109">
        <f>(2500*1.05)/30</f>
        <v>87.5</v>
      </c>
      <c r="E50" s="110">
        <v>4</v>
      </c>
      <c r="F50" s="111">
        <f t="shared" si="3"/>
        <v>350</v>
      </c>
      <c r="H50" s="2"/>
      <c r="I50" s="2"/>
      <c r="J50" s="2"/>
      <c r="K50" s="2"/>
      <c r="L50" s="2"/>
      <c r="M50" s="2"/>
    </row>
    <row r="51" spans="1:13" s="1" customFormat="1" ht="27.6" customHeight="1">
      <c r="A51" s="125" t="s">
        <v>16</v>
      </c>
      <c r="B51" s="99" t="s">
        <v>107</v>
      </c>
      <c r="C51" s="99"/>
      <c r="D51" s="109">
        <f>(1000*1.05)/30</f>
        <v>35</v>
      </c>
      <c r="E51" s="110">
        <v>20</v>
      </c>
      <c r="F51" s="111">
        <f t="shared" si="3"/>
        <v>700</v>
      </c>
      <c r="H51" s="2"/>
      <c r="I51" s="2"/>
      <c r="J51" s="2"/>
      <c r="K51" s="2"/>
      <c r="L51" s="2"/>
      <c r="M51" s="2"/>
    </row>
    <row r="52" spans="1:13" s="1" customFormat="1" ht="27.6" customHeight="1">
      <c r="A52" s="125" t="s">
        <v>17</v>
      </c>
      <c r="B52" s="112" t="s">
        <v>108</v>
      </c>
      <c r="C52" s="112"/>
      <c r="D52" s="113">
        <f>(2000*1.05)/30</f>
        <v>70</v>
      </c>
      <c r="E52" s="114">
        <v>20</v>
      </c>
      <c r="F52" s="115">
        <f t="shared" si="3"/>
        <v>1400</v>
      </c>
      <c r="H52" s="2"/>
      <c r="I52" s="2"/>
      <c r="J52" s="2"/>
      <c r="K52" s="2"/>
      <c r="L52" s="2"/>
      <c r="M52" s="2"/>
    </row>
    <row r="53" spans="1:13" s="1" customFormat="1" ht="27.6" customHeight="1">
      <c r="A53" s="125" t="s">
        <v>18</v>
      </c>
      <c r="B53" s="191" t="s">
        <v>211</v>
      </c>
      <c r="C53" s="143" t="s">
        <v>109</v>
      </c>
      <c r="D53" s="116">
        <f>(30000*1.05)/30</f>
        <v>1050</v>
      </c>
      <c r="E53" s="117">
        <v>1</v>
      </c>
      <c r="F53" s="118">
        <f t="shared" si="3"/>
        <v>1050</v>
      </c>
      <c r="H53" s="2"/>
      <c r="I53" s="2"/>
      <c r="J53" s="2"/>
      <c r="K53" s="2"/>
      <c r="L53" s="2"/>
      <c r="M53" s="2"/>
    </row>
    <row r="54" spans="1:13" s="1" customFormat="1" ht="27.6" customHeight="1">
      <c r="A54" s="125" t="s">
        <v>146</v>
      </c>
      <c r="B54" s="191"/>
      <c r="C54" s="95" t="s">
        <v>110</v>
      </c>
      <c r="D54" s="116">
        <f>(30000*1.05)/30</f>
        <v>1050</v>
      </c>
      <c r="E54" s="117">
        <v>1</v>
      </c>
      <c r="F54" s="118">
        <f>E54*D54</f>
        <v>1050</v>
      </c>
      <c r="H54" s="2"/>
      <c r="I54" s="2"/>
      <c r="J54" s="2"/>
      <c r="K54" s="2"/>
      <c r="L54" s="2"/>
      <c r="M54" s="2"/>
    </row>
    <row r="55" spans="1:13" ht="31.7" customHeight="1">
      <c r="A55" s="125" t="s">
        <v>147</v>
      </c>
      <c r="B55" s="217" t="s">
        <v>111</v>
      </c>
      <c r="C55" s="144" t="s">
        <v>175</v>
      </c>
      <c r="D55" s="145">
        <f>(800*1.05)/30</f>
        <v>28</v>
      </c>
      <c r="E55" s="146">
        <v>140</v>
      </c>
      <c r="F55" s="147">
        <f t="shared" si="3"/>
        <v>3920</v>
      </c>
    </row>
    <row r="56" spans="1:13" ht="27.6" customHeight="1">
      <c r="A56" s="125" t="s">
        <v>148</v>
      </c>
      <c r="B56" s="218"/>
      <c r="C56" s="99" t="s">
        <v>113</v>
      </c>
      <c r="D56" s="109">
        <f>(60*1.05)/30</f>
        <v>2.1</v>
      </c>
      <c r="E56" s="110">
        <v>140</v>
      </c>
      <c r="F56" s="111">
        <f t="shared" si="3"/>
        <v>294</v>
      </c>
      <c r="G56" s="67"/>
    </row>
    <row r="57" spans="1:13">
      <c r="A57" s="125" t="s">
        <v>149</v>
      </c>
      <c r="B57" s="218"/>
      <c r="C57" s="99" t="s">
        <v>114</v>
      </c>
      <c r="D57" s="109">
        <f>(500*1.05)/30</f>
        <v>17.5</v>
      </c>
      <c r="E57" s="110">
        <v>140</v>
      </c>
      <c r="F57" s="111">
        <f t="shared" si="3"/>
        <v>2450</v>
      </c>
    </row>
    <row r="58" spans="1:13" ht="31.15" customHeight="1">
      <c r="A58" s="125" t="s">
        <v>150</v>
      </c>
      <c r="B58" s="99" t="s">
        <v>115</v>
      </c>
      <c r="C58" s="99" t="s">
        <v>116</v>
      </c>
      <c r="D58" s="109">
        <f>(7000*1.05)/30</f>
        <v>245</v>
      </c>
      <c r="E58" s="110">
        <v>20</v>
      </c>
      <c r="F58" s="111">
        <f t="shared" si="3"/>
        <v>4900</v>
      </c>
    </row>
    <row r="59" spans="1:13" ht="31.15" customHeight="1">
      <c r="A59" s="125" t="s">
        <v>151</v>
      </c>
      <c r="B59" s="99" t="s">
        <v>117</v>
      </c>
      <c r="C59" s="99"/>
      <c r="D59" s="109">
        <f>(30000*1.05)/30</f>
        <v>1050</v>
      </c>
      <c r="E59" s="110">
        <v>1</v>
      </c>
      <c r="F59" s="111">
        <f t="shared" si="3"/>
        <v>1050</v>
      </c>
    </row>
    <row r="60" spans="1:13" ht="27.6" customHeight="1">
      <c r="A60" s="125" t="s">
        <v>152</v>
      </c>
      <c r="B60" s="99" t="s">
        <v>118</v>
      </c>
      <c r="C60" s="99"/>
      <c r="D60" s="109">
        <f>(40000*1.05)/30</f>
        <v>1400</v>
      </c>
      <c r="E60" s="110">
        <v>1</v>
      </c>
      <c r="F60" s="111">
        <f t="shared" si="3"/>
        <v>1400</v>
      </c>
    </row>
    <row r="61" spans="1:13" ht="27.6" customHeight="1">
      <c r="A61" s="125" t="s">
        <v>153</v>
      </c>
      <c r="B61" s="99" t="s">
        <v>119</v>
      </c>
      <c r="C61" s="99"/>
      <c r="D61" s="127">
        <f>(50000*1.05)/30</f>
        <v>1750</v>
      </c>
      <c r="E61" s="128">
        <v>1</v>
      </c>
      <c r="F61" s="137">
        <f t="shared" si="3"/>
        <v>1750</v>
      </c>
    </row>
    <row r="62" spans="1:13" ht="27.6" customHeight="1">
      <c r="A62" s="219"/>
      <c r="B62" s="220"/>
      <c r="C62" s="221"/>
      <c r="D62" s="211" t="s">
        <v>165</v>
      </c>
      <c r="E62" s="211"/>
      <c r="F62" s="148">
        <f>SUM(F45:F61)</f>
        <v>27139</v>
      </c>
    </row>
    <row r="63" spans="1:13" ht="27.6" customHeight="1">
      <c r="A63" s="212" t="s">
        <v>157</v>
      </c>
      <c r="B63" s="212"/>
      <c r="C63" s="212"/>
      <c r="D63" s="212"/>
      <c r="E63" s="212"/>
      <c r="F63" s="212"/>
    </row>
    <row r="64" spans="1:13" ht="27.6" customHeight="1">
      <c r="A64" s="122" t="s">
        <v>46</v>
      </c>
      <c r="B64" s="123" t="s">
        <v>47</v>
      </c>
      <c r="C64" s="123" t="s">
        <v>48</v>
      </c>
      <c r="D64" s="124" t="s">
        <v>49</v>
      </c>
      <c r="E64" s="124" t="s">
        <v>50</v>
      </c>
      <c r="F64" s="124" t="s">
        <v>51</v>
      </c>
    </row>
    <row r="65" spans="1:13">
      <c r="A65" s="149" t="s">
        <v>19</v>
      </c>
      <c r="B65" s="99" t="s">
        <v>120</v>
      </c>
      <c r="C65" s="99" t="s">
        <v>121</v>
      </c>
      <c r="D65" s="109">
        <f>70/30</f>
        <v>2.3333333333333335</v>
      </c>
      <c r="E65" s="110">
        <v>700</v>
      </c>
      <c r="F65" s="111">
        <f t="shared" ref="F65:F67" si="4">D65*E65</f>
        <v>1633.3333333333335</v>
      </c>
    </row>
    <row r="66" spans="1:13" ht="27.6" customHeight="1">
      <c r="A66" s="149" t="s">
        <v>158</v>
      </c>
      <c r="B66" s="99" t="s">
        <v>123</v>
      </c>
      <c r="C66" s="99" t="s">
        <v>124</v>
      </c>
      <c r="D66" s="109">
        <f>53/30</f>
        <v>1.7666666666666666</v>
      </c>
      <c r="E66" s="110">
        <v>70</v>
      </c>
      <c r="F66" s="111">
        <f t="shared" si="4"/>
        <v>123.66666666666666</v>
      </c>
    </row>
    <row r="67" spans="1:13" s="1" customFormat="1" ht="27.6" customHeight="1">
      <c r="A67" s="149" t="s">
        <v>20</v>
      </c>
      <c r="B67" s="150" t="s">
        <v>125</v>
      </c>
      <c r="C67" s="150"/>
      <c r="D67" s="127">
        <f>(20*1.05)/30</f>
        <v>0.7</v>
      </c>
      <c r="E67" s="128">
        <v>400</v>
      </c>
      <c r="F67" s="137">
        <f t="shared" si="4"/>
        <v>280</v>
      </c>
      <c r="H67" s="2"/>
      <c r="I67" s="2"/>
      <c r="J67" s="2"/>
      <c r="K67" s="2"/>
      <c r="L67" s="2"/>
      <c r="M67" s="2"/>
    </row>
    <row r="68" spans="1:13" s="1" customFormat="1" ht="27.6" customHeight="1">
      <c r="A68" s="213"/>
      <c r="B68" s="213"/>
      <c r="C68" s="213"/>
      <c r="D68" s="211" t="s">
        <v>165</v>
      </c>
      <c r="E68" s="211"/>
      <c r="F68" s="148">
        <f>SUM(F65:F67)</f>
        <v>2037.0000000000002</v>
      </c>
      <c r="H68" s="2"/>
      <c r="I68" s="2"/>
      <c r="J68" s="2"/>
      <c r="K68" s="2"/>
      <c r="L68" s="2"/>
      <c r="M68" s="2"/>
    </row>
    <row r="69" spans="1:13" s="1" customFormat="1" ht="27.6" customHeight="1">
      <c r="A69" s="214" t="s">
        <v>159</v>
      </c>
      <c r="B69" s="215"/>
      <c r="C69" s="215"/>
      <c r="D69" s="215"/>
      <c r="E69" s="215"/>
      <c r="F69" s="216"/>
      <c r="H69" s="2"/>
      <c r="I69" s="2"/>
      <c r="J69" s="2"/>
      <c r="K69" s="2"/>
      <c r="L69" s="2"/>
      <c r="M69" s="2"/>
    </row>
    <row r="70" spans="1:13" s="1" customFormat="1" ht="27.6" customHeight="1">
      <c r="A70" s="122" t="s">
        <v>46</v>
      </c>
      <c r="B70" s="123" t="s">
        <v>47</v>
      </c>
      <c r="C70" s="123" t="s">
        <v>48</v>
      </c>
      <c r="D70" s="124" t="s">
        <v>49</v>
      </c>
      <c r="E70" s="124" t="s">
        <v>50</v>
      </c>
      <c r="F70" s="124" t="s">
        <v>51</v>
      </c>
      <c r="H70" s="2"/>
      <c r="I70" s="2"/>
      <c r="J70" s="2"/>
      <c r="K70" s="2"/>
      <c r="L70" s="2"/>
      <c r="M70" s="2"/>
    </row>
    <row r="71" spans="1:13" s="1" customFormat="1">
      <c r="A71" s="125" t="s">
        <v>160</v>
      </c>
      <c r="B71" s="112" t="s">
        <v>128</v>
      </c>
      <c r="C71" s="99" t="s">
        <v>205</v>
      </c>
      <c r="D71" s="127">
        <f>(25000*1.05)/30</f>
        <v>875</v>
      </c>
      <c r="E71" s="128">
        <v>32</v>
      </c>
      <c r="F71" s="137">
        <f>E71*D71</f>
        <v>28000</v>
      </c>
      <c r="H71" s="2"/>
      <c r="I71" s="2"/>
      <c r="J71" s="2"/>
      <c r="K71" s="2"/>
      <c r="L71" s="2"/>
      <c r="M71" s="2"/>
    </row>
    <row r="72" spans="1:13" s="1" customFormat="1" ht="27.6" customHeight="1">
      <c r="A72" s="125" t="s">
        <v>127</v>
      </c>
      <c r="B72" s="99" t="s">
        <v>129</v>
      </c>
      <c r="C72" s="99" t="s">
        <v>212</v>
      </c>
      <c r="D72" s="109">
        <f>(15000*1.05)/30</f>
        <v>525</v>
      </c>
      <c r="E72" s="110">
        <v>5</v>
      </c>
      <c r="F72" s="111">
        <f>+E72*D72</f>
        <v>2625</v>
      </c>
      <c r="H72" s="2"/>
      <c r="I72" s="2"/>
      <c r="J72" s="2"/>
      <c r="K72" s="2"/>
      <c r="L72" s="2"/>
      <c r="M72" s="2"/>
    </row>
    <row r="73" spans="1:13" s="1" customFormat="1" ht="27.6" customHeight="1">
      <c r="A73" s="125" t="s">
        <v>23</v>
      </c>
      <c r="B73" s="151" t="s">
        <v>131</v>
      </c>
      <c r="C73" s="99" t="s">
        <v>26</v>
      </c>
      <c r="D73" s="109">
        <f>(50000*1.05)/30</f>
        <v>1750</v>
      </c>
      <c r="E73" s="110">
        <v>2</v>
      </c>
      <c r="F73" s="111">
        <f>D73*E73</f>
        <v>3500</v>
      </c>
      <c r="H73" s="2"/>
      <c r="I73" s="2"/>
      <c r="J73" s="2"/>
      <c r="K73" s="2"/>
      <c r="L73" s="2"/>
      <c r="M73" s="2"/>
    </row>
    <row r="74" spans="1:13" s="1" customFormat="1" ht="27.6" customHeight="1">
      <c r="A74" s="125" t="s">
        <v>24</v>
      </c>
      <c r="B74" s="151" t="s">
        <v>132</v>
      </c>
      <c r="C74" s="99" t="s">
        <v>26</v>
      </c>
      <c r="D74" s="109">
        <f>(30000*1.05)/30</f>
        <v>1050</v>
      </c>
      <c r="E74" s="110">
        <v>2</v>
      </c>
      <c r="F74" s="111">
        <f>D74*E74</f>
        <v>2100</v>
      </c>
      <c r="H74" s="2"/>
      <c r="I74" s="2"/>
      <c r="J74" s="2"/>
      <c r="K74" s="2"/>
      <c r="L74" s="2"/>
      <c r="M74" s="2"/>
    </row>
    <row r="75" spans="1:13" s="1" customFormat="1" ht="27.6" customHeight="1">
      <c r="A75" s="219"/>
      <c r="B75" s="220"/>
      <c r="C75" s="221"/>
      <c r="D75" s="211" t="s">
        <v>165</v>
      </c>
      <c r="E75" s="211"/>
      <c r="F75" s="148">
        <f>SUM(F71:F74)</f>
        <v>36225</v>
      </c>
      <c r="H75" s="2"/>
      <c r="I75" s="2"/>
      <c r="J75" s="2"/>
      <c r="K75" s="2"/>
      <c r="L75" s="2"/>
      <c r="M75" s="2"/>
    </row>
    <row r="76" spans="1:13" s="1" customFormat="1" ht="27.6" customHeight="1">
      <c r="A76" s="212" t="s">
        <v>161</v>
      </c>
      <c r="B76" s="212"/>
      <c r="C76" s="212"/>
      <c r="D76" s="212"/>
      <c r="E76" s="212"/>
      <c r="F76" s="212"/>
      <c r="H76" s="2"/>
      <c r="I76" s="2"/>
      <c r="J76" s="2"/>
      <c r="K76" s="2"/>
      <c r="L76" s="2"/>
      <c r="M76" s="2"/>
    </row>
    <row r="77" spans="1:13" s="1" customFormat="1" ht="27.6" customHeight="1">
      <c r="A77" s="139" t="s">
        <v>46</v>
      </c>
      <c r="B77" s="140" t="s">
        <v>47</v>
      </c>
      <c r="C77" s="140" t="s">
        <v>48</v>
      </c>
      <c r="D77" s="124" t="s">
        <v>49</v>
      </c>
      <c r="E77" s="124" t="s">
        <v>50</v>
      </c>
      <c r="F77" s="124" t="s">
        <v>51</v>
      </c>
      <c r="H77" s="2"/>
      <c r="I77" s="2"/>
      <c r="J77" s="2"/>
      <c r="K77" s="2"/>
      <c r="L77" s="2"/>
      <c r="M77" s="2"/>
    </row>
    <row r="78" spans="1:13" s="1" customFormat="1" ht="27.6" customHeight="1">
      <c r="A78" s="131" t="s">
        <v>25</v>
      </c>
      <c r="B78" s="95" t="s">
        <v>133</v>
      </c>
      <c r="C78" s="95" t="s">
        <v>134</v>
      </c>
      <c r="D78" s="152">
        <f>18000/30</f>
        <v>600</v>
      </c>
      <c r="E78" s="117">
        <v>1</v>
      </c>
      <c r="F78" s="118">
        <f>+E78*D78</f>
        <v>600</v>
      </c>
      <c r="H78" s="2"/>
      <c r="I78" s="2"/>
      <c r="J78" s="2"/>
      <c r="K78" s="2"/>
      <c r="L78" s="2"/>
      <c r="M78" s="2"/>
    </row>
    <row r="79" spans="1:13" ht="38.25" customHeight="1">
      <c r="A79" s="131" t="s">
        <v>162</v>
      </c>
      <c r="B79" s="95" t="s">
        <v>69</v>
      </c>
      <c r="C79" s="95"/>
      <c r="D79" s="96">
        <f>(D5*0.03)</f>
        <v>8682</v>
      </c>
      <c r="E79" s="97">
        <v>1</v>
      </c>
      <c r="F79" s="98">
        <f>D79*E79</f>
        <v>8682</v>
      </c>
    </row>
    <row r="80" spans="1:13" s="1" customFormat="1" ht="27.6" customHeight="1">
      <c r="A80" s="131" t="s">
        <v>163</v>
      </c>
      <c r="B80" s="95" t="s">
        <v>136</v>
      </c>
      <c r="C80" s="95"/>
      <c r="D80" s="153">
        <f>(630000*1.05)/30</f>
        <v>22050</v>
      </c>
      <c r="E80" s="125">
        <v>1</v>
      </c>
      <c r="F80" s="111">
        <f>D80*E80</f>
        <v>22050</v>
      </c>
      <c r="H80" s="2"/>
      <c r="I80" s="2"/>
      <c r="J80" s="2"/>
      <c r="K80" s="2"/>
      <c r="L80" s="2"/>
      <c r="M80" s="2"/>
    </row>
    <row r="81" spans="1:13" s="1" customFormat="1">
      <c r="A81" s="131" t="s">
        <v>215</v>
      </c>
      <c r="B81" s="95" t="s">
        <v>135</v>
      </c>
      <c r="C81" s="95"/>
      <c r="D81" s="152">
        <f>60000/30</f>
        <v>2000</v>
      </c>
      <c r="E81" s="117">
        <v>1</v>
      </c>
      <c r="F81" s="118">
        <f>+E81*D81</f>
        <v>2000</v>
      </c>
      <c r="H81" s="2"/>
      <c r="I81" s="2"/>
      <c r="J81" s="2"/>
      <c r="K81" s="2"/>
      <c r="L81" s="2"/>
      <c r="M81" s="2"/>
    </row>
    <row r="82" spans="1:13" ht="27.6" customHeight="1">
      <c r="A82" s="208"/>
      <c r="B82" s="209"/>
      <c r="C82" s="210"/>
      <c r="D82" s="211" t="s">
        <v>165</v>
      </c>
      <c r="E82" s="211"/>
      <c r="F82" s="154">
        <f>SUM(F78:F81)</f>
        <v>33332</v>
      </c>
    </row>
    <row r="83" spans="1:13" ht="27.6" customHeight="1">
      <c r="A83" s="212" t="s">
        <v>164</v>
      </c>
      <c r="B83" s="212"/>
      <c r="C83" s="212"/>
      <c r="D83" s="212"/>
      <c r="E83" s="212"/>
      <c r="F83" s="212"/>
    </row>
    <row r="84" spans="1:13" ht="27.6" customHeight="1">
      <c r="A84" s="122" t="s">
        <v>46</v>
      </c>
      <c r="B84" s="123" t="s">
        <v>47</v>
      </c>
      <c r="C84" s="123" t="s">
        <v>48</v>
      </c>
      <c r="D84" s="124" t="s">
        <v>49</v>
      </c>
      <c r="E84" s="124" t="s">
        <v>50</v>
      </c>
      <c r="F84" s="124" t="s">
        <v>51</v>
      </c>
    </row>
    <row r="85" spans="1:13">
      <c r="A85" s="125" t="s">
        <v>27</v>
      </c>
      <c r="B85" s="99" t="s">
        <v>138</v>
      </c>
      <c r="C85" s="99" t="s">
        <v>139</v>
      </c>
      <c r="D85" s="109">
        <f>(100000*1.05)/30</f>
        <v>3500</v>
      </c>
      <c r="E85" s="110">
        <v>1</v>
      </c>
      <c r="F85" s="111">
        <f>D85*E85</f>
        <v>3500</v>
      </c>
    </row>
    <row r="86" spans="1:13" ht="24.2" customHeight="1">
      <c r="A86" s="125" t="s">
        <v>28</v>
      </c>
      <c r="B86" s="99" t="s">
        <v>140</v>
      </c>
      <c r="C86" s="99" t="s">
        <v>141</v>
      </c>
      <c r="D86" s="109">
        <f>(150000*1.05)/30</f>
        <v>5250</v>
      </c>
      <c r="E86" s="110">
        <v>1</v>
      </c>
      <c r="F86" s="111">
        <f>D86*E86</f>
        <v>5250</v>
      </c>
    </row>
    <row r="87" spans="1:13" ht="27.6" customHeight="1">
      <c r="A87" s="125" t="s">
        <v>137</v>
      </c>
      <c r="B87" s="99" t="s">
        <v>142</v>
      </c>
      <c r="C87" s="99" t="s">
        <v>143</v>
      </c>
      <c r="D87" s="109">
        <f>15000/30</f>
        <v>500</v>
      </c>
      <c r="E87" s="110">
        <v>2</v>
      </c>
      <c r="F87" s="111">
        <f>D87*E87</f>
        <v>1000</v>
      </c>
    </row>
    <row r="88" spans="1:13" ht="27.6" customHeight="1">
      <c r="A88" s="213"/>
      <c r="B88" s="213"/>
      <c r="C88" s="213"/>
      <c r="D88" s="211" t="s">
        <v>165</v>
      </c>
      <c r="E88" s="211"/>
      <c r="F88" s="148">
        <f>SUM(F85:F87)</f>
        <v>9750</v>
      </c>
    </row>
    <row r="89" spans="1:13" ht="27.6" customHeight="1">
      <c r="A89" s="177"/>
      <c r="B89" s="178"/>
      <c r="C89" s="178"/>
      <c r="D89" s="178"/>
      <c r="E89" s="178"/>
      <c r="F89" s="179"/>
      <c r="G89" s="8"/>
    </row>
    <row r="90" spans="1:13" ht="27.6" customHeight="1">
      <c r="A90" s="180" t="s">
        <v>167</v>
      </c>
      <c r="B90" s="180"/>
      <c r="C90" s="180"/>
      <c r="D90" s="181">
        <f>F88+F82+F75+F68+F62+F42+F33+F25+F12</f>
        <v>405845</v>
      </c>
      <c r="E90" s="181"/>
      <c r="F90" s="181"/>
      <c r="G90" s="8"/>
    </row>
    <row r="91" spans="1:13" ht="27.6" customHeight="1">
      <c r="A91" s="172" t="s">
        <v>168</v>
      </c>
      <c r="B91" s="172"/>
      <c r="C91" s="172"/>
      <c r="D91" s="173">
        <f>F6-D90</f>
        <v>244269</v>
      </c>
      <c r="E91" s="173"/>
      <c r="F91" s="173"/>
      <c r="G91" s="8"/>
    </row>
    <row r="94" spans="1:13" ht="27.6" customHeight="1">
      <c r="G94" s="8"/>
    </row>
    <row r="96" spans="1:13" ht="27.6" customHeight="1">
      <c r="G96" s="8"/>
    </row>
    <row r="97" spans="7:7" ht="27.6" customHeight="1">
      <c r="G97" s="8"/>
    </row>
    <row r="98" spans="7:7" ht="27.6" customHeight="1">
      <c r="G98" s="9"/>
    </row>
  </sheetData>
  <mergeCells count="41">
    <mergeCell ref="A8:F8"/>
    <mergeCell ref="A1:F1"/>
    <mergeCell ref="A2:F2"/>
    <mergeCell ref="A6:C6"/>
    <mergeCell ref="D6:E6"/>
    <mergeCell ref="A7:F7"/>
    <mergeCell ref="A42:C42"/>
    <mergeCell ref="D42:E42"/>
    <mergeCell ref="A9:F9"/>
    <mergeCell ref="A12:C12"/>
    <mergeCell ref="D12:E12"/>
    <mergeCell ref="A13:F13"/>
    <mergeCell ref="B19:B21"/>
    <mergeCell ref="A25:C25"/>
    <mergeCell ref="D25:E25"/>
    <mergeCell ref="A26:F26"/>
    <mergeCell ref="A33:C33"/>
    <mergeCell ref="D33:E33"/>
    <mergeCell ref="A34:F34"/>
    <mergeCell ref="A76:F76"/>
    <mergeCell ref="A43:F43"/>
    <mergeCell ref="B53:B54"/>
    <mergeCell ref="B55:B57"/>
    <mergeCell ref="A62:C62"/>
    <mergeCell ref="D62:E62"/>
    <mergeCell ref="A63:F63"/>
    <mergeCell ref="A68:C68"/>
    <mergeCell ref="D68:E68"/>
    <mergeCell ref="A69:F69"/>
    <mergeCell ref="A75:C75"/>
    <mergeCell ref="D75:E75"/>
    <mergeCell ref="A90:C90"/>
    <mergeCell ref="D90:F90"/>
    <mergeCell ref="A91:C91"/>
    <mergeCell ref="D91:F91"/>
    <mergeCell ref="A82:C82"/>
    <mergeCell ref="D82:E82"/>
    <mergeCell ref="A83:F83"/>
    <mergeCell ref="A88:C88"/>
    <mergeCell ref="D88:E88"/>
    <mergeCell ref="A89:F89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FC43D-039A-4D07-98B6-559869027409}">
  <sheetPr codeName="工作表11"/>
  <dimension ref="A1:N104"/>
  <sheetViews>
    <sheetView view="pageBreakPreview" zoomScale="85" zoomScaleNormal="70" zoomScaleSheetLayoutView="85" workbookViewId="0">
      <selection activeCell="D4" sqref="D4"/>
    </sheetView>
  </sheetViews>
  <sheetFormatPr defaultColWidth="8.875" defaultRowHeight="27.6" customHeight="1"/>
  <cols>
    <col min="1" max="1" width="8.875" style="156"/>
    <col min="2" max="2" width="35.375" style="156" customWidth="1"/>
    <col min="3" max="3" width="50.25" style="156" customWidth="1"/>
    <col min="4" max="4" width="16.25" style="156" customWidth="1"/>
    <col min="5" max="5" width="10.25" style="156" bestFit="1" customWidth="1"/>
    <col min="6" max="6" width="29.875" style="156" customWidth="1"/>
    <col min="7" max="7" width="14.625" style="155" customWidth="1"/>
    <col min="8" max="8" width="14.125" style="155" bestFit="1" customWidth="1"/>
    <col min="9" max="13" width="8.875" style="156"/>
    <col min="14" max="14" width="15.25" style="156" bestFit="1" customWidth="1"/>
    <col min="15" max="16384" width="8.875" style="156"/>
  </cols>
  <sheetData>
    <row r="1" spans="1:6" ht="27.6" customHeight="1">
      <c r="A1" s="240" t="s">
        <v>45</v>
      </c>
      <c r="B1" s="240"/>
      <c r="C1" s="240"/>
      <c r="D1" s="240"/>
      <c r="E1" s="240"/>
      <c r="F1" s="240"/>
    </row>
    <row r="2" spans="1:6" ht="27.6" customHeight="1">
      <c r="A2" s="230" t="s">
        <v>56</v>
      </c>
      <c r="B2" s="230"/>
      <c r="C2" s="230"/>
      <c r="D2" s="230"/>
      <c r="E2" s="230"/>
      <c r="F2" s="230"/>
    </row>
    <row r="3" spans="1:6" ht="27.6" customHeight="1">
      <c r="A3" s="122" t="s">
        <v>46</v>
      </c>
      <c r="B3" s="123" t="s">
        <v>47</v>
      </c>
      <c r="C3" s="123" t="s">
        <v>48</v>
      </c>
      <c r="D3" s="124" t="s">
        <v>49</v>
      </c>
      <c r="E3" s="124" t="s">
        <v>50</v>
      </c>
      <c r="F3" s="124" t="s">
        <v>51</v>
      </c>
    </row>
    <row r="4" spans="1:6" ht="27.6" customHeight="1">
      <c r="A4" s="110">
        <v>1</v>
      </c>
      <c r="B4" s="157" t="s">
        <v>53</v>
      </c>
      <c r="C4" s="158"/>
      <c r="D4" s="80">
        <f>10821420/30</f>
        <v>360714</v>
      </c>
      <c r="E4" s="110">
        <v>1</v>
      </c>
      <c r="F4" s="129">
        <f>D4*E4</f>
        <v>360714</v>
      </c>
    </row>
    <row r="5" spans="1:6" ht="26.45" customHeight="1">
      <c r="A5" s="110">
        <v>2</v>
      </c>
      <c r="B5" s="160" t="s">
        <v>54</v>
      </c>
      <c r="C5" s="161"/>
      <c r="D5" s="162">
        <f>'Registration Fee'!Z10/30</f>
        <v>402620</v>
      </c>
      <c r="E5" s="117">
        <v>1</v>
      </c>
      <c r="F5" s="129">
        <f>D5*E5</f>
        <v>402620</v>
      </c>
    </row>
    <row r="6" spans="1:6" ht="27.6" customHeight="1">
      <c r="A6" s="231"/>
      <c r="B6" s="231"/>
      <c r="C6" s="231"/>
      <c r="D6" s="235" t="s">
        <v>166</v>
      </c>
      <c r="E6" s="236"/>
      <c r="F6" s="163">
        <f>D4+D5</f>
        <v>763334</v>
      </c>
    </row>
    <row r="7" spans="1:6" ht="27.6" customHeight="1">
      <c r="A7" s="237"/>
      <c r="B7" s="238"/>
      <c r="C7" s="238"/>
      <c r="D7" s="238"/>
      <c r="E7" s="238"/>
      <c r="F7" s="239"/>
    </row>
    <row r="8" spans="1:6" ht="27.6" customHeight="1">
      <c r="A8" s="230" t="s">
        <v>57</v>
      </c>
      <c r="B8" s="230"/>
      <c r="C8" s="230"/>
      <c r="D8" s="230"/>
      <c r="E8" s="230"/>
      <c r="F8" s="230"/>
    </row>
    <row r="9" spans="1:6" ht="27.6" customHeight="1">
      <c r="A9" s="222" t="s">
        <v>70</v>
      </c>
      <c r="B9" s="223"/>
      <c r="C9" s="223"/>
      <c r="D9" s="223"/>
      <c r="E9" s="223"/>
      <c r="F9" s="223"/>
    </row>
    <row r="10" spans="1:6" ht="27.6" customHeight="1">
      <c r="A10" s="122" t="s">
        <v>46</v>
      </c>
      <c r="B10" s="123" t="s">
        <v>47</v>
      </c>
      <c r="C10" s="123" t="s">
        <v>48</v>
      </c>
      <c r="D10" s="124" t="s">
        <v>49</v>
      </c>
      <c r="E10" s="124" t="s">
        <v>50</v>
      </c>
      <c r="F10" s="124" t="s">
        <v>51</v>
      </c>
    </row>
    <row r="11" spans="1:6" ht="27.6" customHeight="1">
      <c r="A11" s="125" t="s">
        <v>1</v>
      </c>
      <c r="B11" s="99" t="s">
        <v>55</v>
      </c>
      <c r="C11" s="126"/>
      <c r="D11" s="127">
        <f>2200000/30</f>
        <v>73333.333333333328</v>
      </c>
      <c r="E11" s="128">
        <v>1</v>
      </c>
      <c r="F11" s="129">
        <f>D11*E11</f>
        <v>73333.333333333328</v>
      </c>
    </row>
    <row r="12" spans="1:6" s="155" customFormat="1" ht="27.6" customHeight="1">
      <c r="A12" s="219"/>
      <c r="B12" s="220"/>
      <c r="C12" s="221"/>
      <c r="D12" s="211" t="s">
        <v>165</v>
      </c>
      <c r="E12" s="211"/>
      <c r="F12" s="130">
        <f>SUM(F11:F11)</f>
        <v>73333.333333333328</v>
      </c>
    </row>
    <row r="13" spans="1:6" s="155" customFormat="1" ht="27.6" customHeight="1">
      <c r="A13" s="224" t="s">
        <v>71</v>
      </c>
      <c r="B13" s="225"/>
      <c r="C13" s="225"/>
      <c r="D13" s="225"/>
      <c r="E13" s="225"/>
      <c r="F13" s="226"/>
    </row>
    <row r="14" spans="1:6" s="155" customFormat="1" ht="27.6" customHeight="1">
      <c r="A14" s="122" t="s">
        <v>46</v>
      </c>
      <c r="B14" s="123" t="s">
        <v>47</v>
      </c>
      <c r="C14" s="123" t="s">
        <v>48</v>
      </c>
      <c r="D14" s="124" t="s">
        <v>49</v>
      </c>
      <c r="E14" s="124" t="s">
        <v>50</v>
      </c>
      <c r="F14" s="124" t="s">
        <v>51</v>
      </c>
    </row>
    <row r="15" spans="1:6" s="155" customFormat="1" ht="27.6" customHeight="1">
      <c r="A15" s="131" t="s">
        <v>3</v>
      </c>
      <c r="B15" s="132" t="s">
        <v>58</v>
      </c>
      <c r="C15" s="95"/>
      <c r="D15" s="107">
        <f>1000000/30</f>
        <v>33333.333333333336</v>
      </c>
      <c r="E15" s="108">
        <v>1</v>
      </c>
      <c r="F15" s="118">
        <f t="shared" ref="F15:F24" si="0">D15*E15</f>
        <v>33333.333333333336</v>
      </c>
    </row>
    <row r="16" spans="1:6" s="155" customFormat="1" ht="40.9" customHeight="1">
      <c r="A16" s="131" t="s">
        <v>75</v>
      </c>
      <c r="B16" s="99" t="s">
        <v>84</v>
      </c>
      <c r="C16" s="99" t="s">
        <v>206</v>
      </c>
      <c r="D16" s="109">
        <f>5000/30</f>
        <v>166.66666666666666</v>
      </c>
      <c r="E16" s="110">
        <v>17</v>
      </c>
      <c r="F16" s="111">
        <f t="shared" si="0"/>
        <v>2833.333333333333</v>
      </c>
    </row>
    <row r="17" spans="1:7" s="155" customFormat="1" ht="27.6" customHeight="1">
      <c r="A17" s="131" t="s">
        <v>76</v>
      </c>
      <c r="B17" s="112" t="s">
        <v>85</v>
      </c>
      <c r="C17" s="112" t="s">
        <v>86</v>
      </c>
      <c r="D17" s="113">
        <f>(85000*1.05)/30</f>
        <v>2975</v>
      </c>
      <c r="E17" s="114">
        <v>12</v>
      </c>
      <c r="F17" s="111">
        <f t="shared" si="0"/>
        <v>35700</v>
      </c>
    </row>
    <row r="18" spans="1:7" s="155" customFormat="1" ht="27.6" customHeight="1">
      <c r="A18" s="131" t="s">
        <v>77</v>
      </c>
      <c r="B18" s="112" t="s">
        <v>87</v>
      </c>
      <c r="C18" s="112"/>
      <c r="D18" s="113">
        <f>(12000*1.05)/30</f>
        <v>420</v>
      </c>
      <c r="E18" s="114">
        <v>1</v>
      </c>
      <c r="F18" s="115">
        <f t="shared" si="0"/>
        <v>420</v>
      </c>
    </row>
    <row r="19" spans="1:7" s="155" customFormat="1" ht="27.6" customHeight="1">
      <c r="A19" s="131" t="s">
        <v>78</v>
      </c>
      <c r="B19" s="191" t="s">
        <v>91</v>
      </c>
      <c r="C19" s="95" t="s">
        <v>89</v>
      </c>
      <c r="D19" s="116">
        <f>(180000*1.05)/30</f>
        <v>6300</v>
      </c>
      <c r="E19" s="117">
        <v>1</v>
      </c>
      <c r="F19" s="118">
        <f t="shared" si="0"/>
        <v>6300</v>
      </c>
    </row>
    <row r="20" spans="1:7" s="155" customFormat="1" ht="27.6" customHeight="1">
      <c r="A20" s="131" t="s">
        <v>79</v>
      </c>
      <c r="B20" s="191"/>
      <c r="C20" s="95" t="s">
        <v>88</v>
      </c>
      <c r="D20" s="116">
        <f>(120000*1.05)/30</f>
        <v>4200</v>
      </c>
      <c r="E20" s="117">
        <v>5</v>
      </c>
      <c r="F20" s="118">
        <f t="shared" si="0"/>
        <v>21000</v>
      </c>
    </row>
    <row r="21" spans="1:7" s="155" customFormat="1" ht="27.6" customHeight="1">
      <c r="A21" s="131" t="s">
        <v>80</v>
      </c>
      <c r="B21" s="192"/>
      <c r="C21" s="104" t="s">
        <v>90</v>
      </c>
      <c r="D21" s="119">
        <f>(15000*1.05)/30</f>
        <v>525</v>
      </c>
      <c r="E21" s="120">
        <v>10</v>
      </c>
      <c r="F21" s="121">
        <f t="shared" si="0"/>
        <v>5250</v>
      </c>
    </row>
    <row r="22" spans="1:7" s="155" customFormat="1" ht="27.6" customHeight="1">
      <c r="A22" s="131" t="s">
        <v>81</v>
      </c>
      <c r="B22" s="95" t="s">
        <v>92</v>
      </c>
      <c r="C22" s="95" t="s">
        <v>93</v>
      </c>
      <c r="D22" s="116">
        <f>(23000*1.05)/30</f>
        <v>805</v>
      </c>
      <c r="E22" s="117">
        <v>1</v>
      </c>
      <c r="F22" s="118">
        <f t="shared" si="0"/>
        <v>805</v>
      </c>
    </row>
    <row r="23" spans="1:7" s="155" customFormat="1" ht="27.6" customHeight="1">
      <c r="A23" s="131" t="s">
        <v>82</v>
      </c>
      <c r="B23" s="95" t="s">
        <v>203</v>
      </c>
      <c r="C23" s="95" t="s">
        <v>204</v>
      </c>
      <c r="D23" s="116">
        <v>1000</v>
      </c>
      <c r="E23" s="117">
        <v>5</v>
      </c>
      <c r="F23" s="118">
        <f t="shared" si="0"/>
        <v>5000</v>
      </c>
    </row>
    <row r="24" spans="1:7" s="155" customFormat="1" ht="27.6" customHeight="1">
      <c r="A24" s="131" t="s">
        <v>83</v>
      </c>
      <c r="B24" s="95" t="s">
        <v>94</v>
      </c>
      <c r="C24" s="95" t="s">
        <v>95</v>
      </c>
      <c r="D24" s="116">
        <f>(500*1.05)/30</f>
        <v>17.5</v>
      </c>
      <c r="E24" s="117">
        <v>8</v>
      </c>
      <c r="F24" s="118">
        <f t="shared" si="0"/>
        <v>140</v>
      </c>
    </row>
    <row r="25" spans="1:7" s="155" customFormat="1" ht="27.6" customHeight="1">
      <c r="A25" s="227"/>
      <c r="B25" s="228"/>
      <c r="C25" s="229"/>
      <c r="D25" s="211" t="s">
        <v>165</v>
      </c>
      <c r="E25" s="211"/>
      <c r="F25" s="133">
        <f>SUM(F15:F24)</f>
        <v>110781.66666666667</v>
      </c>
    </row>
    <row r="26" spans="1:7" s="155" customFormat="1" ht="27.6" customHeight="1">
      <c r="A26" s="212" t="s">
        <v>72</v>
      </c>
      <c r="B26" s="212"/>
      <c r="C26" s="212"/>
      <c r="D26" s="212"/>
      <c r="E26" s="212"/>
      <c r="F26" s="212"/>
    </row>
    <row r="27" spans="1:7" s="155" customFormat="1" ht="27.6" customHeight="1">
      <c r="A27" s="122" t="s">
        <v>46</v>
      </c>
      <c r="B27" s="123" t="s">
        <v>47</v>
      </c>
      <c r="C27" s="123" t="s">
        <v>48</v>
      </c>
      <c r="D27" s="124" t="s">
        <v>49</v>
      </c>
      <c r="E27" s="124" t="s">
        <v>50</v>
      </c>
      <c r="F27" s="124" t="s">
        <v>51</v>
      </c>
    </row>
    <row r="28" spans="1:7" s="155" customFormat="1" ht="27.6" customHeight="1">
      <c r="A28" s="134" t="s">
        <v>4</v>
      </c>
      <c r="B28" s="135" t="s">
        <v>59</v>
      </c>
      <c r="C28" s="136" t="s">
        <v>63</v>
      </c>
      <c r="D28" s="127">
        <f>220/30</f>
        <v>7.333333333333333</v>
      </c>
      <c r="E28" s="128">
        <v>1000</v>
      </c>
      <c r="F28" s="137">
        <f>SUM(D28*E28)</f>
        <v>7333.333333333333</v>
      </c>
      <c r="G28" s="164"/>
    </row>
    <row r="29" spans="1:7" s="155" customFormat="1" ht="27.6" customHeight="1">
      <c r="A29" s="134" t="s">
        <v>5</v>
      </c>
      <c r="B29" s="135" t="s">
        <v>60</v>
      </c>
      <c r="C29" s="136" t="s">
        <v>64</v>
      </c>
      <c r="D29" s="127">
        <f>260/30</f>
        <v>8.6666666666666661</v>
      </c>
      <c r="E29" s="128">
        <v>3200</v>
      </c>
      <c r="F29" s="137">
        <f t="shared" ref="F29:F31" si="1">SUM(D29*E29)</f>
        <v>27733.333333333332</v>
      </c>
    </row>
    <row r="30" spans="1:7" s="155" customFormat="1" ht="38.25" customHeight="1">
      <c r="A30" s="134" t="s">
        <v>6</v>
      </c>
      <c r="B30" s="135" t="s">
        <v>61</v>
      </c>
      <c r="C30" s="136" t="s">
        <v>65</v>
      </c>
      <c r="D30" s="127">
        <f>285/30</f>
        <v>9.5</v>
      </c>
      <c r="E30" s="128">
        <f>3600+500</f>
        <v>4100</v>
      </c>
      <c r="F30" s="137">
        <f t="shared" si="1"/>
        <v>38950</v>
      </c>
    </row>
    <row r="31" spans="1:7" s="155" customFormat="1" ht="27.6" customHeight="1">
      <c r="A31" s="134" t="s">
        <v>7</v>
      </c>
      <c r="B31" s="135" t="s">
        <v>8</v>
      </c>
      <c r="C31" s="136" t="s">
        <v>66</v>
      </c>
      <c r="D31" s="127">
        <f>600/30</f>
        <v>20</v>
      </c>
      <c r="E31" s="128">
        <v>500</v>
      </c>
      <c r="F31" s="137">
        <f t="shared" si="1"/>
        <v>10000</v>
      </c>
    </row>
    <row r="32" spans="1:7" s="155" customFormat="1" ht="27.6" customHeight="1">
      <c r="A32" s="134" t="s">
        <v>9</v>
      </c>
      <c r="B32" s="135" t="s">
        <v>62</v>
      </c>
      <c r="C32" s="136" t="s">
        <v>67</v>
      </c>
      <c r="D32" s="127">
        <f>(23000*1.1)/30</f>
        <v>843.33333333333348</v>
      </c>
      <c r="E32" s="128">
        <v>40</v>
      </c>
      <c r="F32" s="137">
        <f>SUM(D32*E32)</f>
        <v>33733.333333333343</v>
      </c>
    </row>
    <row r="33" spans="1:14" s="155" customFormat="1" ht="27.6" customHeight="1">
      <c r="A33" s="219"/>
      <c r="B33" s="209"/>
      <c r="C33" s="221"/>
      <c r="D33" s="211" t="s">
        <v>165</v>
      </c>
      <c r="E33" s="211"/>
      <c r="F33" s="138">
        <f>SUM(F28:F32)</f>
        <v>117750</v>
      </c>
    </row>
    <row r="34" spans="1:14" s="155" customFormat="1" ht="27.6" customHeight="1">
      <c r="A34" s="222" t="s">
        <v>73</v>
      </c>
      <c r="B34" s="222"/>
      <c r="C34" s="222"/>
      <c r="D34" s="222"/>
      <c r="E34" s="222"/>
      <c r="F34" s="222"/>
    </row>
    <row r="35" spans="1:14" s="155" customFormat="1" ht="27.6" customHeight="1">
      <c r="A35" s="139" t="s">
        <v>46</v>
      </c>
      <c r="B35" s="140" t="s">
        <v>47</v>
      </c>
      <c r="C35" s="140" t="s">
        <v>48</v>
      </c>
      <c r="D35" s="124" t="s">
        <v>49</v>
      </c>
      <c r="E35" s="124" t="s">
        <v>50</v>
      </c>
      <c r="F35" s="124" t="s">
        <v>51</v>
      </c>
    </row>
    <row r="36" spans="1:14" ht="27.6" customHeight="1">
      <c r="A36" s="141" t="s">
        <v>74</v>
      </c>
      <c r="B36" s="95" t="s">
        <v>68</v>
      </c>
      <c r="C36" s="95"/>
      <c r="D36" s="101">
        <f>50000/30</f>
        <v>1666.6666666666667</v>
      </c>
      <c r="E36" s="102">
        <v>4</v>
      </c>
      <c r="F36" s="103">
        <f t="shared" ref="F36:F41" si="2">D36*E36</f>
        <v>6666.666666666667</v>
      </c>
    </row>
    <row r="37" spans="1:14" ht="47.25" customHeight="1">
      <c r="A37" s="141" t="s">
        <v>10</v>
      </c>
      <c r="B37" s="100" t="s">
        <v>195</v>
      </c>
      <c r="C37" s="95" t="s">
        <v>196</v>
      </c>
      <c r="D37" s="101">
        <f>(3000*1.05)/30</f>
        <v>105</v>
      </c>
      <c r="E37" s="102">
        <v>62</v>
      </c>
      <c r="F37" s="103">
        <f t="shared" si="2"/>
        <v>6510</v>
      </c>
    </row>
    <row r="38" spans="1:14" ht="36.4" customHeight="1">
      <c r="A38" s="141" t="s">
        <v>42</v>
      </c>
      <c r="B38" s="100" t="s">
        <v>197</v>
      </c>
      <c r="C38" s="95" t="s">
        <v>198</v>
      </c>
      <c r="D38" s="101">
        <f>(6200*1.15)/30</f>
        <v>237.66666666666663</v>
      </c>
      <c r="E38" s="102">
        <v>42</v>
      </c>
      <c r="F38" s="103">
        <f t="shared" si="2"/>
        <v>9981.9999999999982</v>
      </c>
    </row>
    <row r="39" spans="1:14" ht="36.4" customHeight="1">
      <c r="A39" s="141" t="s">
        <v>43</v>
      </c>
      <c r="B39" s="104" t="s">
        <v>199</v>
      </c>
      <c r="C39" s="104" t="s">
        <v>194</v>
      </c>
      <c r="D39" s="105">
        <v>700</v>
      </c>
      <c r="E39" s="106">
        <v>1</v>
      </c>
      <c r="F39" s="103">
        <f t="shared" si="2"/>
        <v>700</v>
      </c>
    </row>
    <row r="40" spans="1:14" ht="58.7" customHeight="1">
      <c r="A40" s="141" t="s">
        <v>11</v>
      </c>
      <c r="B40" s="95" t="s">
        <v>200</v>
      </c>
      <c r="C40" s="95" t="s">
        <v>216</v>
      </c>
      <c r="D40" s="107">
        <v>250</v>
      </c>
      <c r="E40" s="108">
        <v>28</v>
      </c>
      <c r="F40" s="103">
        <f t="shared" si="2"/>
        <v>7000</v>
      </c>
    </row>
    <row r="41" spans="1:14" ht="28.9" customHeight="1">
      <c r="A41" s="141" t="s">
        <v>201</v>
      </c>
      <c r="B41" s="95" t="s">
        <v>44</v>
      </c>
      <c r="C41" s="95" t="s">
        <v>52</v>
      </c>
      <c r="D41" s="96">
        <v>25000</v>
      </c>
      <c r="E41" s="97">
        <v>1</v>
      </c>
      <c r="F41" s="98">
        <f t="shared" si="2"/>
        <v>25000</v>
      </c>
    </row>
    <row r="42" spans="1:14" ht="27.6" customHeight="1">
      <c r="A42" s="208"/>
      <c r="B42" s="209"/>
      <c r="C42" s="210"/>
      <c r="D42" s="211" t="s">
        <v>165</v>
      </c>
      <c r="E42" s="211"/>
      <c r="F42" s="142">
        <f>SUM(F36:F41)</f>
        <v>55858.666666666664</v>
      </c>
    </row>
    <row r="43" spans="1:14" s="155" customFormat="1" ht="27.6" customHeight="1">
      <c r="A43" s="214" t="s">
        <v>96</v>
      </c>
      <c r="B43" s="215"/>
      <c r="C43" s="215"/>
      <c r="D43" s="215"/>
      <c r="E43" s="215"/>
      <c r="F43" s="216"/>
      <c r="I43" s="156"/>
      <c r="J43" s="156"/>
      <c r="K43" s="156"/>
      <c r="L43" s="156"/>
      <c r="M43" s="156"/>
      <c r="N43" s="156"/>
    </row>
    <row r="44" spans="1:14" s="155" customFormat="1" ht="27.6" customHeight="1">
      <c r="A44" s="122" t="s">
        <v>46</v>
      </c>
      <c r="B44" s="123" t="s">
        <v>47</v>
      </c>
      <c r="C44" s="123" t="s">
        <v>48</v>
      </c>
      <c r="D44" s="124" t="s">
        <v>49</v>
      </c>
      <c r="E44" s="124" t="s">
        <v>50</v>
      </c>
      <c r="F44" s="124" t="s">
        <v>51</v>
      </c>
      <c r="I44" s="156"/>
      <c r="J44" s="156"/>
      <c r="K44" s="156"/>
      <c r="L44" s="156"/>
      <c r="M44" s="156"/>
      <c r="N44" s="156"/>
    </row>
    <row r="45" spans="1:14" s="155" customFormat="1" ht="27.6" customHeight="1">
      <c r="A45" s="125" t="s">
        <v>144</v>
      </c>
      <c r="B45" s="99" t="s">
        <v>98</v>
      </c>
      <c r="C45" s="99"/>
      <c r="D45" s="109">
        <f>(50000*1.05)/30</f>
        <v>1750</v>
      </c>
      <c r="E45" s="110">
        <v>1</v>
      </c>
      <c r="F45" s="111">
        <f>D45*E45</f>
        <v>1750</v>
      </c>
      <c r="G45" s="165"/>
      <c r="I45" s="156"/>
      <c r="J45" s="156"/>
      <c r="K45" s="156"/>
      <c r="L45" s="156"/>
      <c r="M45" s="156"/>
      <c r="N45" s="156"/>
    </row>
    <row r="46" spans="1:14" s="155" customFormat="1" ht="27.6" customHeight="1">
      <c r="A46" s="125" t="s">
        <v>145</v>
      </c>
      <c r="B46" s="99" t="s">
        <v>97</v>
      </c>
      <c r="C46" s="99"/>
      <c r="D46" s="109">
        <f>(45000*1.05)/30</f>
        <v>1575</v>
      </c>
      <c r="E46" s="110">
        <v>1</v>
      </c>
      <c r="F46" s="111">
        <f t="shared" ref="F46:F64" si="3">E46*D46</f>
        <v>1575</v>
      </c>
      <c r="G46" s="165"/>
      <c r="I46" s="156"/>
      <c r="J46" s="156"/>
      <c r="K46" s="156"/>
      <c r="L46" s="156"/>
      <c r="M46" s="156"/>
      <c r="N46" s="156"/>
    </row>
    <row r="47" spans="1:14" s="155" customFormat="1" ht="27.6" customHeight="1">
      <c r="A47" s="125" t="s">
        <v>12</v>
      </c>
      <c r="B47" s="99" t="s">
        <v>99</v>
      </c>
      <c r="C47" s="99"/>
      <c r="D47" s="109">
        <f>(40000*1.05)/30</f>
        <v>1400</v>
      </c>
      <c r="E47" s="110">
        <v>1</v>
      </c>
      <c r="F47" s="111">
        <f t="shared" si="3"/>
        <v>1400</v>
      </c>
      <c r="G47" s="165"/>
      <c r="I47" s="156"/>
      <c r="J47" s="156"/>
      <c r="K47" s="156"/>
      <c r="L47" s="156"/>
      <c r="M47" s="156"/>
      <c r="N47" s="156"/>
    </row>
    <row r="48" spans="1:14" s="155" customFormat="1" ht="27.6" customHeight="1">
      <c r="A48" s="125" t="s">
        <v>13</v>
      </c>
      <c r="B48" s="99" t="s">
        <v>100</v>
      </c>
      <c r="C48" s="99"/>
      <c r="D48" s="109">
        <f>(10000*1.05)/30</f>
        <v>350</v>
      </c>
      <c r="E48" s="110">
        <v>8</v>
      </c>
      <c r="F48" s="111">
        <f t="shared" si="3"/>
        <v>2800</v>
      </c>
      <c r="G48" s="165"/>
      <c r="I48" s="156"/>
      <c r="J48" s="156"/>
      <c r="K48" s="156"/>
      <c r="L48" s="156"/>
      <c r="M48" s="156"/>
      <c r="N48" s="156"/>
    </row>
    <row r="49" spans="1:14" s="155" customFormat="1" ht="27.6" customHeight="1">
      <c r="A49" s="125" t="s">
        <v>14</v>
      </c>
      <c r="B49" s="99" t="s">
        <v>101</v>
      </c>
      <c r="C49" s="99"/>
      <c r="D49" s="109">
        <f>15000/30</f>
        <v>500</v>
      </c>
      <c r="E49" s="110">
        <v>8</v>
      </c>
      <c r="F49" s="111">
        <f t="shared" si="3"/>
        <v>4000</v>
      </c>
      <c r="G49" s="165"/>
      <c r="I49" s="156"/>
      <c r="J49" s="156"/>
      <c r="K49" s="156"/>
      <c r="L49" s="156"/>
      <c r="M49" s="156"/>
      <c r="N49" s="156"/>
    </row>
    <row r="50" spans="1:14" s="155" customFormat="1" ht="27.6" customHeight="1">
      <c r="A50" s="125" t="s">
        <v>15</v>
      </c>
      <c r="B50" s="99" t="s">
        <v>102</v>
      </c>
      <c r="C50" s="99"/>
      <c r="D50" s="109">
        <f>(30000*1.05)/30</f>
        <v>1050</v>
      </c>
      <c r="E50" s="110">
        <v>1</v>
      </c>
      <c r="F50" s="111">
        <f t="shared" si="3"/>
        <v>1050</v>
      </c>
      <c r="G50" s="165"/>
      <c r="I50" s="156"/>
      <c r="J50" s="156"/>
      <c r="K50" s="156"/>
      <c r="L50" s="156"/>
      <c r="M50" s="156"/>
      <c r="N50" s="156"/>
    </row>
    <row r="51" spans="1:14" s="155" customFormat="1" ht="46.9" customHeight="1">
      <c r="A51" s="125" t="s">
        <v>16</v>
      </c>
      <c r="B51" s="99" t="s">
        <v>103</v>
      </c>
      <c r="C51" s="99" t="s">
        <v>104</v>
      </c>
      <c r="D51" s="109">
        <f>(50000*1.05)/30</f>
        <v>1750</v>
      </c>
      <c r="E51" s="110">
        <v>1</v>
      </c>
      <c r="F51" s="111">
        <f t="shared" si="3"/>
        <v>1750</v>
      </c>
      <c r="G51" s="165"/>
      <c r="I51" s="156"/>
      <c r="J51" s="156"/>
      <c r="K51" s="156"/>
      <c r="L51" s="156"/>
      <c r="M51" s="156"/>
      <c r="N51" s="156"/>
    </row>
    <row r="52" spans="1:14" s="155" customFormat="1" ht="27.6" customHeight="1">
      <c r="A52" s="125" t="s">
        <v>17</v>
      </c>
      <c r="B52" s="99" t="s">
        <v>105</v>
      </c>
      <c r="C52" s="99"/>
      <c r="D52" s="109">
        <f>(2500*1.05)/30</f>
        <v>87.5</v>
      </c>
      <c r="E52" s="110">
        <v>4</v>
      </c>
      <c r="F52" s="111">
        <f t="shared" si="3"/>
        <v>350</v>
      </c>
      <c r="G52" s="165"/>
      <c r="I52" s="156"/>
      <c r="J52" s="156"/>
      <c r="K52" s="156"/>
      <c r="L52" s="156"/>
      <c r="M52" s="156"/>
      <c r="N52" s="156"/>
    </row>
    <row r="53" spans="1:14" s="155" customFormat="1" ht="27.6" customHeight="1">
      <c r="A53" s="125" t="s">
        <v>18</v>
      </c>
      <c r="B53" s="99" t="s">
        <v>106</v>
      </c>
      <c r="C53" s="99"/>
      <c r="D53" s="109">
        <f>(15000*1.05)/30</f>
        <v>525</v>
      </c>
      <c r="E53" s="110">
        <v>3</v>
      </c>
      <c r="F53" s="111">
        <f t="shared" si="3"/>
        <v>1575</v>
      </c>
      <c r="G53" s="165"/>
      <c r="I53" s="156"/>
      <c r="J53" s="156"/>
      <c r="K53" s="156"/>
      <c r="L53" s="156"/>
      <c r="M53" s="156"/>
      <c r="N53" s="156"/>
    </row>
    <row r="54" spans="1:14" s="155" customFormat="1" ht="27.6" customHeight="1">
      <c r="A54" s="125" t="s">
        <v>146</v>
      </c>
      <c r="B54" s="99" t="s">
        <v>107</v>
      </c>
      <c r="C54" s="99"/>
      <c r="D54" s="109">
        <f>(1000*1.05)/30</f>
        <v>35</v>
      </c>
      <c r="E54" s="110">
        <v>20</v>
      </c>
      <c r="F54" s="111">
        <f t="shared" si="3"/>
        <v>700</v>
      </c>
      <c r="G54" s="165"/>
      <c r="I54" s="156"/>
      <c r="J54" s="156"/>
      <c r="K54" s="156"/>
      <c r="L54" s="156"/>
      <c r="M54" s="156"/>
      <c r="N54" s="156"/>
    </row>
    <row r="55" spans="1:14" s="155" customFormat="1" ht="27.6" customHeight="1">
      <c r="A55" s="125" t="s">
        <v>147</v>
      </c>
      <c r="B55" s="112" t="s">
        <v>108</v>
      </c>
      <c r="C55" s="112"/>
      <c r="D55" s="113">
        <f>(2000*1.05)/30</f>
        <v>70</v>
      </c>
      <c r="E55" s="114">
        <v>20</v>
      </c>
      <c r="F55" s="115">
        <f t="shared" si="3"/>
        <v>1400</v>
      </c>
      <c r="G55" s="165"/>
      <c r="I55" s="156"/>
      <c r="J55" s="156"/>
      <c r="K55" s="156"/>
      <c r="L55" s="156"/>
      <c r="M55" s="156"/>
      <c r="N55" s="156"/>
    </row>
    <row r="56" spans="1:14" s="155" customFormat="1" ht="27.6" customHeight="1">
      <c r="A56" s="125" t="s">
        <v>148</v>
      </c>
      <c r="B56" s="191" t="s">
        <v>211</v>
      </c>
      <c r="C56" s="143" t="s">
        <v>109</v>
      </c>
      <c r="D56" s="113">
        <f>30000/30</f>
        <v>1000</v>
      </c>
      <c r="E56" s="117">
        <v>1</v>
      </c>
      <c r="F56" s="118">
        <f t="shared" si="3"/>
        <v>1000</v>
      </c>
      <c r="G56" s="165"/>
      <c r="I56" s="156"/>
      <c r="J56" s="156"/>
      <c r="K56" s="156"/>
      <c r="L56" s="156"/>
      <c r="M56" s="156"/>
      <c r="N56" s="156"/>
    </row>
    <row r="57" spans="1:14" s="155" customFormat="1" ht="27.6" customHeight="1">
      <c r="A57" s="125" t="s">
        <v>149</v>
      </c>
      <c r="B57" s="191"/>
      <c r="C57" s="95" t="s">
        <v>110</v>
      </c>
      <c r="D57" s="116">
        <f>(57000*1.05)/30</f>
        <v>1995</v>
      </c>
      <c r="E57" s="117">
        <v>1</v>
      </c>
      <c r="F57" s="118">
        <f>E57*D57</f>
        <v>1995</v>
      </c>
      <c r="G57" s="165"/>
      <c r="I57" s="156"/>
      <c r="J57" s="156"/>
      <c r="K57" s="156"/>
      <c r="L57" s="156"/>
      <c r="M57" s="156"/>
      <c r="N57" s="156"/>
    </row>
    <row r="58" spans="1:14" ht="31.7" customHeight="1">
      <c r="A58" s="125" t="s">
        <v>150</v>
      </c>
      <c r="B58" s="217" t="s">
        <v>111</v>
      </c>
      <c r="C58" s="144" t="s">
        <v>112</v>
      </c>
      <c r="D58" s="145">
        <f>(800*1.05)/30</f>
        <v>28</v>
      </c>
      <c r="E58" s="146">
        <v>200</v>
      </c>
      <c r="F58" s="147">
        <f t="shared" si="3"/>
        <v>5600</v>
      </c>
      <c r="G58" s="165"/>
    </row>
    <row r="59" spans="1:14" ht="27.6" customHeight="1">
      <c r="A59" s="125" t="s">
        <v>151</v>
      </c>
      <c r="B59" s="218"/>
      <c r="C59" s="99" t="s">
        <v>113</v>
      </c>
      <c r="D59" s="109">
        <f>(60*1.05)/30</f>
        <v>2.1</v>
      </c>
      <c r="E59" s="110">
        <v>200</v>
      </c>
      <c r="F59" s="111">
        <f t="shared" si="3"/>
        <v>420</v>
      </c>
      <c r="G59" s="165"/>
      <c r="H59" s="166"/>
    </row>
    <row r="60" spans="1:14" ht="16.5">
      <c r="A60" s="125" t="s">
        <v>152</v>
      </c>
      <c r="B60" s="218"/>
      <c r="C60" s="99" t="s">
        <v>114</v>
      </c>
      <c r="D60" s="109">
        <f>(500*1.05)/30</f>
        <v>17.5</v>
      </c>
      <c r="E60" s="110">
        <v>200</v>
      </c>
      <c r="F60" s="111">
        <f t="shared" si="3"/>
        <v>3500</v>
      </c>
      <c r="G60" s="165"/>
    </row>
    <row r="61" spans="1:14" ht="31.15" customHeight="1">
      <c r="A61" s="125" t="s">
        <v>153</v>
      </c>
      <c r="B61" s="99" t="s">
        <v>115</v>
      </c>
      <c r="C61" s="99" t="s">
        <v>116</v>
      </c>
      <c r="D61" s="109">
        <f>(7000*1.05)/30</f>
        <v>245</v>
      </c>
      <c r="E61" s="110">
        <v>20</v>
      </c>
      <c r="F61" s="111">
        <f t="shared" si="3"/>
        <v>4900</v>
      </c>
      <c r="G61" s="165"/>
    </row>
    <row r="62" spans="1:14" ht="31.15" customHeight="1">
      <c r="A62" s="125" t="s">
        <v>154</v>
      </c>
      <c r="B62" s="99" t="s">
        <v>117</v>
      </c>
      <c r="C62" s="99"/>
      <c r="D62" s="109">
        <f>(30000*1.05)/30</f>
        <v>1050</v>
      </c>
      <c r="E62" s="110">
        <v>1</v>
      </c>
      <c r="F62" s="111">
        <f t="shared" si="3"/>
        <v>1050</v>
      </c>
      <c r="G62" s="165"/>
    </row>
    <row r="63" spans="1:14" ht="27.6" customHeight="1">
      <c r="A63" s="125" t="s">
        <v>155</v>
      </c>
      <c r="B63" s="99" t="s">
        <v>118</v>
      </c>
      <c r="C63" s="99"/>
      <c r="D63" s="109">
        <f>(40000*1.05)/30</f>
        <v>1400</v>
      </c>
      <c r="E63" s="110">
        <v>1</v>
      </c>
      <c r="F63" s="111">
        <f t="shared" si="3"/>
        <v>1400</v>
      </c>
      <c r="G63" s="165"/>
    </row>
    <row r="64" spans="1:14" ht="27.6" customHeight="1">
      <c r="A64" s="125" t="s">
        <v>156</v>
      </c>
      <c r="B64" s="99" t="s">
        <v>119</v>
      </c>
      <c r="C64" s="99"/>
      <c r="D64" s="127">
        <f>(50000*1.05)/30</f>
        <v>1750</v>
      </c>
      <c r="E64" s="128">
        <v>1</v>
      </c>
      <c r="F64" s="137">
        <f t="shared" si="3"/>
        <v>1750</v>
      </c>
      <c r="G64" s="165"/>
    </row>
    <row r="65" spans="1:14" ht="27.6" customHeight="1">
      <c r="A65" s="219"/>
      <c r="B65" s="220"/>
      <c r="C65" s="221"/>
      <c r="D65" s="211" t="s">
        <v>165</v>
      </c>
      <c r="E65" s="211"/>
      <c r="F65" s="148">
        <f>SUM(F45:F64)</f>
        <v>39965</v>
      </c>
    </row>
    <row r="66" spans="1:14" ht="27.6" customHeight="1">
      <c r="A66" s="212" t="s">
        <v>173</v>
      </c>
      <c r="B66" s="212"/>
      <c r="C66" s="212"/>
      <c r="D66" s="212"/>
      <c r="E66" s="212"/>
      <c r="F66" s="212"/>
    </row>
    <row r="67" spans="1:14" ht="27.6" customHeight="1">
      <c r="A67" s="122" t="s">
        <v>46</v>
      </c>
      <c r="B67" s="123" t="s">
        <v>47</v>
      </c>
      <c r="C67" s="123" t="s">
        <v>48</v>
      </c>
      <c r="D67" s="124" t="s">
        <v>49</v>
      </c>
      <c r="E67" s="124" t="s">
        <v>50</v>
      </c>
      <c r="F67" s="124" t="s">
        <v>51</v>
      </c>
    </row>
    <row r="68" spans="1:14" ht="16.5">
      <c r="A68" s="149" t="s">
        <v>19</v>
      </c>
      <c r="B68" s="99" t="s">
        <v>120</v>
      </c>
      <c r="C68" s="99" t="s">
        <v>121</v>
      </c>
      <c r="D68" s="109">
        <f>70/30</f>
        <v>2.3333333333333335</v>
      </c>
      <c r="E68" s="110">
        <v>1000</v>
      </c>
      <c r="F68" s="111">
        <f t="shared" ref="F68:F73" si="4">D68*E68</f>
        <v>2333.3333333333335</v>
      </c>
      <c r="G68" s="165"/>
    </row>
    <row r="69" spans="1:14" ht="27.6" customHeight="1">
      <c r="A69" s="149" t="s">
        <v>158</v>
      </c>
      <c r="B69" s="99" t="s">
        <v>122</v>
      </c>
      <c r="C69" s="99"/>
      <c r="D69" s="109">
        <f>150/30</f>
        <v>5</v>
      </c>
      <c r="E69" s="110">
        <v>1000</v>
      </c>
      <c r="F69" s="111">
        <f t="shared" si="4"/>
        <v>5000</v>
      </c>
      <c r="G69" s="165"/>
    </row>
    <row r="70" spans="1:14" ht="42.6" customHeight="1">
      <c r="A70" s="149" t="s">
        <v>20</v>
      </c>
      <c r="B70" s="99" t="s">
        <v>207</v>
      </c>
      <c r="C70" s="99" t="s">
        <v>208</v>
      </c>
      <c r="D70" s="109">
        <v>12</v>
      </c>
      <c r="E70" s="110">
        <v>1500</v>
      </c>
      <c r="F70" s="111">
        <f t="shared" si="4"/>
        <v>18000</v>
      </c>
      <c r="G70" s="165"/>
    </row>
    <row r="71" spans="1:14" ht="27.6" customHeight="1">
      <c r="A71" s="149" t="s">
        <v>21</v>
      </c>
      <c r="B71" s="99" t="s">
        <v>123</v>
      </c>
      <c r="C71" s="99" t="s">
        <v>124</v>
      </c>
      <c r="D71" s="109">
        <f>53/30</f>
        <v>1.7666666666666666</v>
      </c>
      <c r="E71" s="110">
        <v>100</v>
      </c>
      <c r="F71" s="111">
        <f t="shared" si="4"/>
        <v>176.66666666666666</v>
      </c>
      <c r="G71" s="165"/>
    </row>
    <row r="72" spans="1:14" s="155" customFormat="1" ht="27.6" customHeight="1">
      <c r="A72" s="149" t="s">
        <v>22</v>
      </c>
      <c r="B72" s="150" t="s">
        <v>125</v>
      </c>
      <c r="C72" s="150"/>
      <c r="D72" s="127">
        <f>(20*1.05)/30</f>
        <v>0.7</v>
      </c>
      <c r="E72" s="128">
        <v>500</v>
      </c>
      <c r="F72" s="137">
        <f t="shared" si="4"/>
        <v>350</v>
      </c>
      <c r="G72" s="165"/>
      <c r="I72" s="156"/>
      <c r="J72" s="156"/>
      <c r="K72" s="156"/>
      <c r="L72" s="156"/>
      <c r="M72" s="156"/>
      <c r="N72" s="156"/>
    </row>
    <row r="73" spans="1:14" s="155" customFormat="1" ht="27.6" customHeight="1">
      <c r="A73" s="149" t="s">
        <v>210</v>
      </c>
      <c r="B73" s="150" t="s">
        <v>126</v>
      </c>
      <c r="C73" s="150"/>
      <c r="D73" s="127">
        <f>(100*1.05)/30</f>
        <v>3.5</v>
      </c>
      <c r="E73" s="128">
        <v>300</v>
      </c>
      <c r="F73" s="137">
        <f t="shared" si="4"/>
        <v>1050</v>
      </c>
      <c r="G73" s="165"/>
      <c r="I73" s="156"/>
      <c r="J73" s="156"/>
      <c r="K73" s="156"/>
      <c r="L73" s="156"/>
      <c r="M73" s="156"/>
      <c r="N73" s="156"/>
    </row>
    <row r="74" spans="1:14" s="155" customFormat="1" ht="27.6" customHeight="1">
      <c r="A74" s="213"/>
      <c r="B74" s="213"/>
      <c r="C74" s="213"/>
      <c r="D74" s="211" t="s">
        <v>165</v>
      </c>
      <c r="E74" s="211"/>
      <c r="F74" s="148">
        <f>SUM(F68:F73)</f>
        <v>26910.000000000004</v>
      </c>
      <c r="I74" s="156"/>
      <c r="J74" s="156"/>
      <c r="K74" s="156"/>
      <c r="L74" s="156"/>
      <c r="M74" s="156"/>
      <c r="N74" s="156"/>
    </row>
    <row r="75" spans="1:14" s="155" customFormat="1" ht="27.6" customHeight="1">
      <c r="A75" s="214" t="s">
        <v>159</v>
      </c>
      <c r="B75" s="215"/>
      <c r="C75" s="215"/>
      <c r="D75" s="215"/>
      <c r="E75" s="215"/>
      <c r="F75" s="216"/>
      <c r="I75" s="156"/>
      <c r="J75" s="156"/>
      <c r="K75" s="156"/>
      <c r="L75" s="156"/>
      <c r="M75" s="156"/>
      <c r="N75" s="156"/>
    </row>
    <row r="76" spans="1:14" s="155" customFormat="1" ht="27.6" customHeight="1">
      <c r="A76" s="122" t="s">
        <v>46</v>
      </c>
      <c r="B76" s="123" t="s">
        <v>47</v>
      </c>
      <c r="C76" s="123" t="s">
        <v>48</v>
      </c>
      <c r="D76" s="124" t="s">
        <v>49</v>
      </c>
      <c r="E76" s="124" t="s">
        <v>50</v>
      </c>
      <c r="F76" s="124" t="s">
        <v>51</v>
      </c>
      <c r="I76" s="156"/>
      <c r="J76" s="156"/>
      <c r="K76" s="156"/>
      <c r="L76" s="156"/>
      <c r="M76" s="156"/>
      <c r="N76" s="156"/>
    </row>
    <row r="77" spans="1:14" s="155" customFormat="1" ht="16.5">
      <c r="A77" s="125" t="s">
        <v>160</v>
      </c>
      <c r="B77" s="112" t="s">
        <v>128</v>
      </c>
      <c r="C77" s="99" t="s">
        <v>205</v>
      </c>
      <c r="D77" s="127">
        <f>(25000*1.05)/30</f>
        <v>875</v>
      </c>
      <c r="E77" s="128">
        <v>32</v>
      </c>
      <c r="F77" s="137">
        <f>E77*D77</f>
        <v>28000</v>
      </c>
      <c r="G77" s="165"/>
      <c r="I77" s="156"/>
      <c r="J77" s="156"/>
      <c r="K77" s="156"/>
      <c r="L77" s="156"/>
      <c r="M77" s="156"/>
      <c r="N77" s="156"/>
    </row>
    <row r="78" spans="1:14" s="155" customFormat="1" ht="27.6" customHeight="1">
      <c r="A78" s="125" t="s">
        <v>127</v>
      </c>
      <c r="B78" s="99" t="s">
        <v>129</v>
      </c>
      <c r="C78" s="99" t="s">
        <v>213</v>
      </c>
      <c r="D78" s="109">
        <f>(15000*1.05)/30</f>
        <v>525</v>
      </c>
      <c r="E78" s="110">
        <v>5</v>
      </c>
      <c r="F78" s="111">
        <f>+E78*D78</f>
        <v>2625</v>
      </c>
      <c r="G78" s="165"/>
      <c r="I78" s="156"/>
      <c r="J78" s="156"/>
      <c r="K78" s="156"/>
      <c r="L78" s="156"/>
      <c r="M78" s="156"/>
      <c r="N78" s="156"/>
    </row>
    <row r="79" spans="1:14" s="155" customFormat="1" ht="27.6" customHeight="1">
      <c r="A79" s="125" t="s">
        <v>23</v>
      </c>
      <c r="B79" s="151" t="s">
        <v>131</v>
      </c>
      <c r="C79" s="99" t="s">
        <v>26</v>
      </c>
      <c r="D79" s="109">
        <f>(60000*1.05)/30</f>
        <v>2100</v>
      </c>
      <c r="E79" s="110">
        <v>2</v>
      </c>
      <c r="F79" s="111">
        <f>D79*E79</f>
        <v>4200</v>
      </c>
      <c r="I79" s="156"/>
      <c r="J79" s="156"/>
      <c r="K79" s="156"/>
      <c r="L79" s="156"/>
      <c r="M79" s="156"/>
      <c r="N79" s="156"/>
    </row>
    <row r="80" spans="1:14" s="155" customFormat="1" ht="27.6" customHeight="1">
      <c r="A80" s="125" t="s">
        <v>24</v>
      </c>
      <c r="B80" s="151" t="s">
        <v>132</v>
      </c>
      <c r="C80" s="99" t="s">
        <v>26</v>
      </c>
      <c r="D80" s="109">
        <f>(45000*1.05)/30</f>
        <v>1575</v>
      </c>
      <c r="E80" s="110">
        <v>2</v>
      </c>
      <c r="F80" s="111">
        <f>D80*E80</f>
        <v>3150</v>
      </c>
      <c r="I80" s="156"/>
      <c r="J80" s="156"/>
      <c r="K80" s="156"/>
      <c r="L80" s="156"/>
      <c r="M80" s="156"/>
      <c r="N80" s="156"/>
    </row>
    <row r="81" spans="1:14" s="155" customFormat="1" ht="27.6" customHeight="1">
      <c r="A81" s="219"/>
      <c r="B81" s="220"/>
      <c r="C81" s="221"/>
      <c r="D81" s="211" t="s">
        <v>165</v>
      </c>
      <c r="E81" s="211"/>
      <c r="F81" s="148">
        <f>SUM(F77:F80)</f>
        <v>37975</v>
      </c>
      <c r="I81" s="156"/>
      <c r="J81" s="156"/>
      <c r="K81" s="156"/>
      <c r="L81" s="156"/>
      <c r="M81" s="156"/>
      <c r="N81" s="156"/>
    </row>
    <row r="82" spans="1:14" s="155" customFormat="1" ht="27.6" customHeight="1">
      <c r="A82" s="212" t="s">
        <v>161</v>
      </c>
      <c r="B82" s="212"/>
      <c r="C82" s="212"/>
      <c r="D82" s="212"/>
      <c r="E82" s="212"/>
      <c r="F82" s="212"/>
      <c r="I82" s="156"/>
      <c r="J82" s="156"/>
      <c r="K82" s="156"/>
      <c r="L82" s="156"/>
      <c r="M82" s="156"/>
      <c r="N82" s="156"/>
    </row>
    <row r="83" spans="1:14" s="155" customFormat="1" ht="27.6" customHeight="1">
      <c r="A83" s="139" t="s">
        <v>46</v>
      </c>
      <c r="B83" s="140" t="s">
        <v>47</v>
      </c>
      <c r="C83" s="140" t="s">
        <v>48</v>
      </c>
      <c r="D83" s="124" t="s">
        <v>49</v>
      </c>
      <c r="E83" s="124" t="s">
        <v>50</v>
      </c>
      <c r="F83" s="124" t="s">
        <v>51</v>
      </c>
      <c r="I83" s="156"/>
      <c r="J83" s="156"/>
      <c r="K83" s="156"/>
      <c r="L83" s="156"/>
      <c r="M83" s="156"/>
      <c r="N83" s="156"/>
    </row>
    <row r="84" spans="1:14" s="155" customFormat="1" ht="27.6" customHeight="1">
      <c r="A84" s="131" t="s">
        <v>25</v>
      </c>
      <c r="B84" s="95" t="s">
        <v>133</v>
      </c>
      <c r="C84" s="95" t="s">
        <v>134</v>
      </c>
      <c r="D84" s="152">
        <f>24000/30</f>
        <v>800</v>
      </c>
      <c r="E84" s="117">
        <v>1</v>
      </c>
      <c r="F84" s="118">
        <f>+E84*D84</f>
        <v>800</v>
      </c>
      <c r="G84" s="165"/>
      <c r="I84" s="156"/>
      <c r="J84" s="156"/>
      <c r="K84" s="156"/>
      <c r="L84" s="156"/>
      <c r="M84" s="156"/>
      <c r="N84" s="156"/>
    </row>
    <row r="85" spans="1:14" ht="38.25" customHeight="1">
      <c r="A85" s="131" t="s">
        <v>162</v>
      </c>
      <c r="B85" s="95" t="s">
        <v>69</v>
      </c>
      <c r="C85" s="95"/>
      <c r="D85" s="96">
        <f>(D5*0.03)</f>
        <v>12078.6</v>
      </c>
      <c r="E85" s="97">
        <v>1</v>
      </c>
      <c r="F85" s="98">
        <f>D85*E85</f>
        <v>12078.6</v>
      </c>
    </row>
    <row r="86" spans="1:14" s="155" customFormat="1" ht="27.6" customHeight="1">
      <c r="A86" s="131" t="s">
        <v>163</v>
      </c>
      <c r="B86" s="95" t="s">
        <v>136</v>
      </c>
      <c r="C86" s="95"/>
      <c r="D86" s="153">
        <f>(700000*1.05)/30</f>
        <v>24500</v>
      </c>
      <c r="E86" s="125">
        <v>1</v>
      </c>
      <c r="F86" s="111">
        <f>D86*E86</f>
        <v>24500</v>
      </c>
      <c r="G86" s="165"/>
      <c r="I86" s="156"/>
      <c r="J86" s="156"/>
      <c r="K86" s="156"/>
      <c r="L86" s="156"/>
      <c r="M86" s="156"/>
      <c r="N86" s="156"/>
    </row>
    <row r="87" spans="1:14" s="155" customFormat="1" ht="16.5">
      <c r="A87" s="131" t="s">
        <v>215</v>
      </c>
      <c r="B87" s="95" t="s">
        <v>135</v>
      </c>
      <c r="C87" s="95"/>
      <c r="D87" s="152">
        <f>111000/30</f>
        <v>3700</v>
      </c>
      <c r="E87" s="117">
        <v>1</v>
      </c>
      <c r="F87" s="118">
        <f>+E87*D87</f>
        <v>3700</v>
      </c>
      <c r="G87" s="165"/>
      <c r="I87" s="156"/>
      <c r="J87" s="156"/>
      <c r="K87" s="156"/>
      <c r="L87" s="156"/>
      <c r="M87" s="156"/>
      <c r="N87" s="156"/>
    </row>
    <row r="88" spans="1:14" ht="27.6" customHeight="1">
      <c r="A88" s="208"/>
      <c r="B88" s="209"/>
      <c r="C88" s="210"/>
      <c r="D88" s="211" t="s">
        <v>165</v>
      </c>
      <c r="E88" s="211"/>
      <c r="F88" s="154">
        <f>SUM(F84:F87)</f>
        <v>41078.6</v>
      </c>
    </row>
    <row r="89" spans="1:14" ht="27.6" customHeight="1">
      <c r="A89" s="212" t="s">
        <v>164</v>
      </c>
      <c r="B89" s="212"/>
      <c r="C89" s="212"/>
      <c r="D89" s="212"/>
      <c r="E89" s="212"/>
      <c r="F89" s="212"/>
    </row>
    <row r="90" spans="1:14" ht="27.6" customHeight="1">
      <c r="A90" s="122" t="s">
        <v>46</v>
      </c>
      <c r="B90" s="123" t="s">
        <v>47</v>
      </c>
      <c r="C90" s="123" t="s">
        <v>48</v>
      </c>
      <c r="D90" s="124" t="s">
        <v>49</v>
      </c>
      <c r="E90" s="124" t="s">
        <v>50</v>
      </c>
      <c r="F90" s="124" t="s">
        <v>51</v>
      </c>
    </row>
    <row r="91" spans="1:14" ht="16.5">
      <c r="A91" s="125" t="s">
        <v>27</v>
      </c>
      <c r="B91" s="99" t="s">
        <v>138</v>
      </c>
      <c r="C91" s="99" t="s">
        <v>139</v>
      </c>
      <c r="D91" s="109">
        <f>(200000*1.05)/30</f>
        <v>7000</v>
      </c>
      <c r="E91" s="110">
        <v>1</v>
      </c>
      <c r="F91" s="111">
        <f>D91*E91</f>
        <v>7000</v>
      </c>
    </row>
    <row r="92" spans="1:14" ht="46.9" customHeight="1">
      <c r="A92" s="125" t="s">
        <v>28</v>
      </c>
      <c r="B92" s="99" t="s">
        <v>140</v>
      </c>
      <c r="C92" s="99" t="s">
        <v>141</v>
      </c>
      <c r="D92" s="109">
        <f>(150000*1.05)/30</f>
        <v>5250</v>
      </c>
      <c r="E92" s="110">
        <v>1</v>
      </c>
      <c r="F92" s="111">
        <f>D92*E92</f>
        <v>5250</v>
      </c>
      <c r="G92" s="165"/>
    </row>
    <row r="93" spans="1:14" ht="27.6" customHeight="1">
      <c r="A93" s="125" t="s">
        <v>137</v>
      </c>
      <c r="B93" s="99" t="s">
        <v>142</v>
      </c>
      <c r="C93" s="99" t="s">
        <v>143</v>
      </c>
      <c r="D93" s="109">
        <f>15000/30</f>
        <v>500</v>
      </c>
      <c r="E93" s="110">
        <v>2</v>
      </c>
      <c r="F93" s="111">
        <f>D93*E93</f>
        <v>1000</v>
      </c>
      <c r="G93" s="165"/>
    </row>
    <row r="94" spans="1:14" ht="27.6" customHeight="1">
      <c r="A94" s="213"/>
      <c r="B94" s="213"/>
      <c r="C94" s="213"/>
      <c r="D94" s="211" t="s">
        <v>165</v>
      </c>
      <c r="E94" s="211"/>
      <c r="F94" s="148">
        <f>SUM(F91:F93)</f>
        <v>13250</v>
      </c>
    </row>
    <row r="95" spans="1:14" ht="27.6" customHeight="1">
      <c r="A95" s="219"/>
      <c r="B95" s="220"/>
      <c r="C95" s="220"/>
      <c r="D95" s="220"/>
      <c r="E95" s="220"/>
      <c r="F95" s="221"/>
      <c r="G95" s="167"/>
      <c r="H95" s="167"/>
    </row>
    <row r="96" spans="1:14" ht="27.6" customHeight="1">
      <c r="A96" s="233" t="s">
        <v>167</v>
      </c>
      <c r="B96" s="233"/>
      <c r="C96" s="233"/>
      <c r="D96" s="234">
        <f>F94+F88+F81+F74+F65+F42+F33+F25+F12</f>
        <v>516902.26666666666</v>
      </c>
      <c r="E96" s="234"/>
      <c r="F96" s="234"/>
      <c r="G96" s="167"/>
      <c r="H96" s="167"/>
    </row>
    <row r="97" spans="1:8" ht="27.6" customHeight="1">
      <c r="A97" s="231" t="s">
        <v>168</v>
      </c>
      <c r="B97" s="231"/>
      <c r="C97" s="231"/>
      <c r="D97" s="232">
        <f>F6-D96</f>
        <v>246431.73333333334</v>
      </c>
      <c r="E97" s="232"/>
      <c r="F97" s="232"/>
      <c r="G97" s="167"/>
      <c r="H97" s="167"/>
    </row>
    <row r="100" spans="1:8" ht="27.6" customHeight="1">
      <c r="G100" s="167"/>
      <c r="H100" s="167"/>
    </row>
    <row r="102" spans="1:8" ht="27.6" customHeight="1">
      <c r="G102" s="167"/>
      <c r="H102" s="167"/>
    </row>
    <row r="103" spans="1:8" ht="27.6" customHeight="1">
      <c r="G103" s="167"/>
      <c r="H103" s="167"/>
    </row>
    <row r="104" spans="1:8" ht="27.6" customHeight="1">
      <c r="H104" s="168"/>
    </row>
  </sheetData>
  <mergeCells count="41">
    <mergeCell ref="A1:F1"/>
    <mergeCell ref="A2:F2"/>
    <mergeCell ref="A6:C6"/>
    <mergeCell ref="A8:F8"/>
    <mergeCell ref="A9:F9"/>
    <mergeCell ref="A12:C12"/>
    <mergeCell ref="D12:E12"/>
    <mergeCell ref="D6:E6"/>
    <mergeCell ref="A7:F7"/>
    <mergeCell ref="A34:F34"/>
    <mergeCell ref="A42:C42"/>
    <mergeCell ref="D42:E42"/>
    <mergeCell ref="B19:B21"/>
    <mergeCell ref="A13:F13"/>
    <mergeCell ref="A25:C25"/>
    <mergeCell ref="D25:E25"/>
    <mergeCell ref="A26:F26"/>
    <mergeCell ref="A33:C33"/>
    <mergeCell ref="D33:E33"/>
    <mergeCell ref="A81:C81"/>
    <mergeCell ref="D81:E81"/>
    <mergeCell ref="A43:F43"/>
    <mergeCell ref="B56:B57"/>
    <mergeCell ref="B58:B60"/>
    <mergeCell ref="A65:C65"/>
    <mergeCell ref="D65:E65"/>
    <mergeCell ref="A66:F66"/>
    <mergeCell ref="A74:C74"/>
    <mergeCell ref="D74:E74"/>
    <mergeCell ref="A75:F75"/>
    <mergeCell ref="A82:F82"/>
    <mergeCell ref="A88:C88"/>
    <mergeCell ref="D88:E88"/>
    <mergeCell ref="A89:F89"/>
    <mergeCell ref="A94:C94"/>
    <mergeCell ref="D94:E94"/>
    <mergeCell ref="A97:C97"/>
    <mergeCell ref="D97:F97"/>
    <mergeCell ref="A95:F95"/>
    <mergeCell ref="A96:C96"/>
    <mergeCell ref="D96:F96"/>
  </mergeCells>
  <phoneticPr fontId="4" type="noConversion"/>
  <pageMargins left="0.25" right="0.25" top="0.75" bottom="0.75" header="0.3" footer="0.3"/>
  <pageSetup paperSize="9" scale="68" orientation="portrait" r:id="rId1"/>
  <rowBreaks count="1" manualBreakCount="1">
    <brk id="6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D67B-135E-4C63-9651-ED9E7CEA4C9A}">
  <dimension ref="A1:M103"/>
  <sheetViews>
    <sheetView tabSelected="1" zoomScale="85" zoomScaleNormal="85" workbookViewId="0">
      <selection activeCell="D4" sqref="D4"/>
    </sheetView>
  </sheetViews>
  <sheetFormatPr defaultColWidth="8.875" defaultRowHeight="16.5"/>
  <cols>
    <col min="1" max="1" width="8.875" style="2"/>
    <col min="2" max="2" width="35.375" style="2" customWidth="1"/>
    <col min="3" max="3" width="50.25" style="2" customWidth="1"/>
    <col min="4" max="4" width="16.25" style="2" customWidth="1"/>
    <col min="5" max="5" width="10.25" style="2" bestFit="1" customWidth="1"/>
    <col min="6" max="6" width="26.75" style="2" customWidth="1"/>
    <col min="7" max="7" width="14.125" style="1" bestFit="1" customWidth="1"/>
    <col min="8" max="12" width="8.875" style="2"/>
    <col min="13" max="13" width="15.25" style="2" bestFit="1" customWidth="1"/>
    <col min="14" max="16384" width="8.875" style="2"/>
  </cols>
  <sheetData>
    <row r="1" spans="1:6" ht="27.6" customHeight="1">
      <c r="A1" s="240" t="s">
        <v>45</v>
      </c>
      <c r="B1" s="240"/>
      <c r="C1" s="240"/>
      <c r="D1" s="240"/>
      <c r="E1" s="240"/>
      <c r="F1" s="240"/>
    </row>
    <row r="2" spans="1:6" ht="27.6" customHeight="1">
      <c r="A2" s="230" t="s">
        <v>56</v>
      </c>
      <c r="B2" s="230"/>
      <c r="C2" s="230"/>
      <c r="D2" s="230"/>
      <c r="E2" s="230"/>
      <c r="F2" s="230"/>
    </row>
    <row r="3" spans="1:6" ht="27.6" customHeight="1">
      <c r="A3" s="122" t="s">
        <v>46</v>
      </c>
      <c r="B3" s="123" t="s">
        <v>47</v>
      </c>
      <c r="C3" s="123" t="s">
        <v>48</v>
      </c>
      <c r="D3" s="124" t="s">
        <v>49</v>
      </c>
      <c r="E3" s="124" t="s">
        <v>50</v>
      </c>
      <c r="F3" s="124" t="s">
        <v>51</v>
      </c>
    </row>
    <row r="4" spans="1:6" ht="27.6" customHeight="1">
      <c r="A4" s="110">
        <v>1</v>
      </c>
      <c r="B4" s="157" t="s">
        <v>53</v>
      </c>
      <c r="C4" s="158"/>
      <c r="D4" s="80">
        <f>10821420/30</f>
        <v>360714</v>
      </c>
      <c r="E4" s="110">
        <v>1</v>
      </c>
      <c r="F4" s="169"/>
    </row>
    <row r="5" spans="1:6" ht="26.45" customHeight="1">
      <c r="A5" s="110">
        <v>2</v>
      </c>
      <c r="B5" s="160" t="s">
        <v>54</v>
      </c>
      <c r="C5" s="161"/>
      <c r="D5" s="162">
        <f>SUM('Registration Fee'!Z23)/30</f>
        <v>462300</v>
      </c>
      <c r="E5" s="117">
        <v>1</v>
      </c>
      <c r="F5" s="143"/>
    </row>
    <row r="6" spans="1:6" ht="27.6" customHeight="1">
      <c r="A6" s="231" t="s">
        <v>0</v>
      </c>
      <c r="B6" s="231"/>
      <c r="C6" s="231"/>
      <c r="D6" s="244">
        <f>D4+D5</f>
        <v>823014</v>
      </c>
      <c r="E6" s="244"/>
      <c r="F6" s="170"/>
    </row>
    <row r="7" spans="1:6" ht="27.6" customHeight="1">
      <c r="A7" s="230" t="s">
        <v>57</v>
      </c>
      <c r="B7" s="230"/>
      <c r="C7" s="230"/>
      <c r="D7" s="230"/>
      <c r="E7" s="230"/>
      <c r="F7" s="230"/>
    </row>
    <row r="8" spans="1:6" ht="27.6" customHeight="1">
      <c r="A8" s="222" t="s">
        <v>70</v>
      </c>
      <c r="B8" s="223"/>
      <c r="C8" s="223"/>
      <c r="D8" s="223"/>
      <c r="E8" s="223"/>
      <c r="F8" s="223"/>
    </row>
    <row r="9" spans="1:6" ht="27.6" customHeight="1">
      <c r="A9" s="122" t="s">
        <v>46</v>
      </c>
      <c r="B9" s="123" t="s">
        <v>47</v>
      </c>
      <c r="C9" s="123" t="s">
        <v>48</v>
      </c>
      <c r="D9" s="124" t="s">
        <v>49</v>
      </c>
      <c r="E9" s="124" t="s">
        <v>50</v>
      </c>
      <c r="F9" s="124" t="s">
        <v>51</v>
      </c>
    </row>
    <row r="10" spans="1:6" ht="27.6" customHeight="1">
      <c r="A10" s="125" t="s">
        <v>1</v>
      </c>
      <c r="B10" s="99" t="s">
        <v>55</v>
      </c>
      <c r="C10" s="126"/>
      <c r="D10" s="127">
        <f>2200000/30</f>
        <v>73333.333333333328</v>
      </c>
      <c r="E10" s="128">
        <v>1</v>
      </c>
      <c r="F10" s="129">
        <f>D10*E10</f>
        <v>73333.333333333328</v>
      </c>
    </row>
    <row r="11" spans="1:6" s="1" customFormat="1" ht="27.6" customHeight="1">
      <c r="A11" s="219"/>
      <c r="B11" s="220"/>
      <c r="C11" s="221"/>
      <c r="D11" s="211" t="s">
        <v>2</v>
      </c>
      <c r="E11" s="211"/>
      <c r="F11" s="130">
        <f>SUM(F10:F10)</f>
        <v>73333.333333333328</v>
      </c>
    </row>
    <row r="12" spans="1:6" s="1" customFormat="1" ht="27.6" customHeight="1">
      <c r="A12" s="224" t="s">
        <v>71</v>
      </c>
      <c r="B12" s="225"/>
      <c r="C12" s="225"/>
      <c r="D12" s="225"/>
      <c r="E12" s="225"/>
      <c r="F12" s="226"/>
    </row>
    <row r="13" spans="1:6" s="1" customFormat="1" ht="27.6" customHeight="1">
      <c r="A13" s="122" t="s">
        <v>46</v>
      </c>
      <c r="B13" s="123" t="s">
        <v>47</v>
      </c>
      <c r="C13" s="123" t="s">
        <v>48</v>
      </c>
      <c r="D13" s="124" t="s">
        <v>49</v>
      </c>
      <c r="E13" s="124" t="s">
        <v>50</v>
      </c>
      <c r="F13" s="124" t="s">
        <v>51</v>
      </c>
    </row>
    <row r="14" spans="1:6" s="1" customFormat="1" ht="27.6" customHeight="1">
      <c r="A14" s="131" t="s">
        <v>3</v>
      </c>
      <c r="B14" s="132" t="s">
        <v>58</v>
      </c>
      <c r="C14" s="95"/>
      <c r="D14" s="107">
        <f>1000000/30</f>
        <v>33333.333333333336</v>
      </c>
      <c r="E14" s="108">
        <v>1</v>
      </c>
      <c r="F14" s="118">
        <f t="shared" ref="F14:F23" si="0">D14*E14</f>
        <v>33333.333333333336</v>
      </c>
    </row>
    <row r="15" spans="1:6" s="1" customFormat="1" ht="40.9" customHeight="1">
      <c r="A15" s="131" t="s">
        <v>75</v>
      </c>
      <c r="B15" s="99" t="s">
        <v>84</v>
      </c>
      <c r="C15" s="99" t="s">
        <v>206</v>
      </c>
      <c r="D15" s="109">
        <f>5000/30</f>
        <v>166.66666666666666</v>
      </c>
      <c r="E15" s="110">
        <v>17</v>
      </c>
      <c r="F15" s="111">
        <f t="shared" si="0"/>
        <v>2833.333333333333</v>
      </c>
    </row>
    <row r="16" spans="1:6" s="1" customFormat="1" ht="27.6" customHeight="1">
      <c r="A16" s="131" t="s">
        <v>76</v>
      </c>
      <c r="B16" s="112" t="s">
        <v>85</v>
      </c>
      <c r="C16" s="112" t="s">
        <v>86</v>
      </c>
      <c r="D16" s="113">
        <f>(85000*1.05)/30</f>
        <v>2975</v>
      </c>
      <c r="E16" s="114">
        <v>12</v>
      </c>
      <c r="F16" s="111">
        <f t="shared" si="0"/>
        <v>35700</v>
      </c>
    </row>
    <row r="17" spans="1:6" s="1" customFormat="1" ht="27.6" customHeight="1">
      <c r="A17" s="131" t="s">
        <v>77</v>
      </c>
      <c r="B17" s="112" t="s">
        <v>87</v>
      </c>
      <c r="C17" s="112"/>
      <c r="D17" s="113">
        <f>(12000*1.05)/30</f>
        <v>420</v>
      </c>
      <c r="E17" s="114">
        <v>1</v>
      </c>
      <c r="F17" s="115">
        <f t="shared" si="0"/>
        <v>420</v>
      </c>
    </row>
    <row r="18" spans="1:6" s="1" customFormat="1" ht="27.6" customHeight="1">
      <c r="A18" s="131" t="s">
        <v>78</v>
      </c>
      <c r="B18" s="191" t="s">
        <v>91</v>
      </c>
      <c r="C18" s="95" t="s">
        <v>89</v>
      </c>
      <c r="D18" s="116">
        <f>(180000*1.05)/30</f>
        <v>6300</v>
      </c>
      <c r="E18" s="117">
        <v>1</v>
      </c>
      <c r="F18" s="118">
        <f t="shared" si="0"/>
        <v>6300</v>
      </c>
    </row>
    <row r="19" spans="1:6" s="1" customFormat="1" ht="27.6" customHeight="1">
      <c r="A19" s="131" t="s">
        <v>79</v>
      </c>
      <c r="B19" s="191"/>
      <c r="C19" s="95" t="s">
        <v>88</v>
      </c>
      <c r="D19" s="116">
        <f>(120000*1.05)/30</f>
        <v>4200</v>
      </c>
      <c r="E19" s="117">
        <v>5</v>
      </c>
      <c r="F19" s="118">
        <f t="shared" si="0"/>
        <v>21000</v>
      </c>
    </row>
    <row r="20" spans="1:6" s="1" customFormat="1" ht="27.6" customHeight="1">
      <c r="A20" s="131" t="s">
        <v>80</v>
      </c>
      <c r="B20" s="192"/>
      <c r="C20" s="104" t="s">
        <v>90</v>
      </c>
      <c r="D20" s="119">
        <f>(15000*1.05)/30</f>
        <v>525</v>
      </c>
      <c r="E20" s="120">
        <v>10</v>
      </c>
      <c r="F20" s="121">
        <f t="shared" si="0"/>
        <v>5250</v>
      </c>
    </row>
    <row r="21" spans="1:6" s="1" customFormat="1" ht="27.6" customHeight="1">
      <c r="A21" s="131" t="s">
        <v>81</v>
      </c>
      <c r="B21" s="95" t="s">
        <v>92</v>
      </c>
      <c r="C21" s="95" t="s">
        <v>93</v>
      </c>
      <c r="D21" s="116">
        <f>(23000*1.05)/30</f>
        <v>805</v>
      </c>
      <c r="E21" s="117">
        <v>1</v>
      </c>
      <c r="F21" s="118">
        <f t="shared" si="0"/>
        <v>805</v>
      </c>
    </row>
    <row r="22" spans="1:6" s="1" customFormat="1" ht="27.6" customHeight="1">
      <c r="A22" s="131" t="s">
        <v>82</v>
      </c>
      <c r="B22" s="95" t="s">
        <v>203</v>
      </c>
      <c r="C22" s="95" t="s">
        <v>204</v>
      </c>
      <c r="D22" s="116">
        <v>1000</v>
      </c>
      <c r="E22" s="117">
        <v>5</v>
      </c>
      <c r="F22" s="118">
        <f t="shared" si="0"/>
        <v>5000</v>
      </c>
    </row>
    <row r="23" spans="1:6" s="1" customFormat="1" ht="27.6" customHeight="1">
      <c r="A23" s="131" t="s">
        <v>83</v>
      </c>
      <c r="B23" s="95" t="s">
        <v>94</v>
      </c>
      <c r="C23" s="95" t="s">
        <v>95</v>
      </c>
      <c r="D23" s="116">
        <f>(500*1.05)/30</f>
        <v>17.5</v>
      </c>
      <c r="E23" s="117">
        <v>8</v>
      </c>
      <c r="F23" s="118">
        <f t="shared" si="0"/>
        <v>140</v>
      </c>
    </row>
    <row r="24" spans="1:6" s="1" customFormat="1" ht="27.6" customHeight="1">
      <c r="A24" s="227"/>
      <c r="B24" s="228"/>
      <c r="C24" s="229"/>
      <c r="D24" s="242" t="s">
        <v>2</v>
      </c>
      <c r="E24" s="243"/>
      <c r="F24" s="133">
        <f>SUM(F14:F23)</f>
        <v>110781.66666666667</v>
      </c>
    </row>
    <row r="25" spans="1:6" s="1" customFormat="1" ht="27.6" customHeight="1">
      <c r="A25" s="212" t="s">
        <v>72</v>
      </c>
      <c r="B25" s="212"/>
      <c r="C25" s="212"/>
      <c r="D25" s="212"/>
      <c r="E25" s="212"/>
      <c r="F25" s="212"/>
    </row>
    <row r="26" spans="1:6" s="1" customFormat="1" ht="27.6" customHeight="1">
      <c r="A26" s="122" t="s">
        <v>46</v>
      </c>
      <c r="B26" s="123" t="s">
        <v>47</v>
      </c>
      <c r="C26" s="123" t="s">
        <v>48</v>
      </c>
      <c r="D26" s="124" t="s">
        <v>49</v>
      </c>
      <c r="E26" s="124" t="s">
        <v>50</v>
      </c>
      <c r="F26" s="124" t="s">
        <v>51</v>
      </c>
    </row>
    <row r="27" spans="1:6" s="1" customFormat="1" ht="27.6" customHeight="1">
      <c r="A27" s="134" t="s">
        <v>4</v>
      </c>
      <c r="B27" s="135" t="s">
        <v>59</v>
      </c>
      <c r="C27" s="136" t="s">
        <v>63</v>
      </c>
      <c r="D27" s="127">
        <f>220/30</f>
        <v>7.333333333333333</v>
      </c>
      <c r="E27" s="128">
        <v>1000</v>
      </c>
      <c r="F27" s="137">
        <f>SUM(D27*E27)</f>
        <v>7333.333333333333</v>
      </c>
    </row>
    <row r="28" spans="1:6" s="1" customFormat="1" ht="27.6" customHeight="1">
      <c r="A28" s="134" t="s">
        <v>5</v>
      </c>
      <c r="B28" s="135" t="s">
        <v>60</v>
      </c>
      <c r="C28" s="136" t="s">
        <v>64</v>
      </c>
      <c r="D28" s="127">
        <f>260/30</f>
        <v>8.6666666666666661</v>
      </c>
      <c r="E28" s="128">
        <v>3200</v>
      </c>
      <c r="F28" s="137">
        <f t="shared" ref="F28:F30" si="1">SUM(D28*E28)</f>
        <v>27733.333333333332</v>
      </c>
    </row>
    <row r="29" spans="1:6" s="1" customFormat="1" ht="38.25" customHeight="1">
      <c r="A29" s="134" t="s">
        <v>6</v>
      </c>
      <c r="B29" s="135" t="s">
        <v>61</v>
      </c>
      <c r="C29" s="136" t="s">
        <v>65</v>
      </c>
      <c r="D29" s="127">
        <f>285/30</f>
        <v>9.5</v>
      </c>
      <c r="E29" s="128">
        <f>3600+500</f>
        <v>4100</v>
      </c>
      <c r="F29" s="137">
        <f t="shared" si="1"/>
        <v>38950</v>
      </c>
    </row>
    <row r="30" spans="1:6" s="1" customFormat="1" ht="27.6" customHeight="1">
      <c r="A30" s="134" t="s">
        <v>7</v>
      </c>
      <c r="B30" s="135" t="s">
        <v>8</v>
      </c>
      <c r="C30" s="136" t="s">
        <v>66</v>
      </c>
      <c r="D30" s="127">
        <f>600/30</f>
        <v>20</v>
      </c>
      <c r="E30" s="128">
        <v>500</v>
      </c>
      <c r="F30" s="137">
        <f t="shared" si="1"/>
        <v>10000</v>
      </c>
    </row>
    <row r="31" spans="1:6" s="1" customFormat="1" ht="27.6" customHeight="1">
      <c r="A31" s="134" t="s">
        <v>9</v>
      </c>
      <c r="B31" s="135" t="s">
        <v>62</v>
      </c>
      <c r="C31" s="136" t="s">
        <v>67</v>
      </c>
      <c r="D31" s="127">
        <f>(23000*1.1)/30</f>
        <v>843.33333333333348</v>
      </c>
      <c r="E31" s="128">
        <v>40</v>
      </c>
      <c r="F31" s="137">
        <f>SUM(D31*E31)</f>
        <v>33733.333333333343</v>
      </c>
    </row>
    <row r="32" spans="1:6" s="1" customFormat="1" ht="27.6" customHeight="1">
      <c r="A32" s="219"/>
      <c r="B32" s="209"/>
      <c r="C32" s="221"/>
      <c r="D32" s="211" t="s">
        <v>2</v>
      </c>
      <c r="E32" s="211"/>
      <c r="F32" s="138">
        <f>SUM(F27:F31)</f>
        <v>117750</v>
      </c>
    </row>
    <row r="33" spans="1:13" s="1" customFormat="1" ht="27.6" customHeight="1">
      <c r="A33" s="222" t="s">
        <v>73</v>
      </c>
      <c r="B33" s="222"/>
      <c r="C33" s="222"/>
      <c r="D33" s="222"/>
      <c r="E33" s="222"/>
      <c r="F33" s="222"/>
    </row>
    <row r="34" spans="1:13" s="1" customFormat="1" ht="27.6" customHeight="1">
      <c r="A34" s="139" t="s">
        <v>46</v>
      </c>
      <c r="B34" s="140" t="s">
        <v>47</v>
      </c>
      <c r="C34" s="140" t="s">
        <v>48</v>
      </c>
      <c r="D34" s="124" t="s">
        <v>49</v>
      </c>
      <c r="E34" s="124" t="s">
        <v>50</v>
      </c>
      <c r="F34" s="124" t="s">
        <v>51</v>
      </c>
    </row>
    <row r="35" spans="1:13" ht="27.6" customHeight="1">
      <c r="A35" s="141" t="s">
        <v>74</v>
      </c>
      <c r="B35" s="95" t="s">
        <v>68</v>
      </c>
      <c r="C35" s="95"/>
      <c r="D35" s="101">
        <f>50000/30</f>
        <v>1666.6666666666667</v>
      </c>
      <c r="E35" s="102">
        <v>4</v>
      </c>
      <c r="F35" s="103">
        <f t="shared" ref="F35:F40" si="2">D35*E35</f>
        <v>6666.666666666667</v>
      </c>
    </row>
    <row r="36" spans="1:13" ht="47.25" customHeight="1">
      <c r="A36" s="141" t="s">
        <v>10</v>
      </c>
      <c r="B36" s="100" t="s">
        <v>195</v>
      </c>
      <c r="C36" s="95" t="s">
        <v>196</v>
      </c>
      <c r="D36" s="101">
        <f>(3000*1.05)/30</f>
        <v>105</v>
      </c>
      <c r="E36" s="102">
        <v>62</v>
      </c>
      <c r="F36" s="103">
        <f t="shared" si="2"/>
        <v>6510</v>
      </c>
    </row>
    <row r="37" spans="1:13" ht="36.4" customHeight="1">
      <c r="A37" s="141" t="s">
        <v>42</v>
      </c>
      <c r="B37" s="100" t="s">
        <v>197</v>
      </c>
      <c r="C37" s="95" t="s">
        <v>198</v>
      </c>
      <c r="D37" s="101">
        <f>(6200*1.15)/30</f>
        <v>237.66666666666663</v>
      </c>
      <c r="E37" s="102">
        <v>42</v>
      </c>
      <c r="F37" s="103">
        <f t="shared" si="2"/>
        <v>9981.9999999999982</v>
      </c>
    </row>
    <row r="38" spans="1:13" ht="36.4" customHeight="1">
      <c r="A38" s="141" t="s">
        <v>43</v>
      </c>
      <c r="B38" s="104" t="s">
        <v>199</v>
      </c>
      <c r="C38" s="104" t="s">
        <v>194</v>
      </c>
      <c r="D38" s="105">
        <v>700</v>
      </c>
      <c r="E38" s="106">
        <v>1</v>
      </c>
      <c r="F38" s="103">
        <f t="shared" si="2"/>
        <v>700</v>
      </c>
    </row>
    <row r="39" spans="1:13" ht="61.15" customHeight="1">
      <c r="A39" s="141" t="s">
        <v>11</v>
      </c>
      <c r="B39" s="95" t="s">
        <v>200</v>
      </c>
      <c r="C39" s="95" t="s">
        <v>216</v>
      </c>
      <c r="D39" s="107">
        <v>250</v>
      </c>
      <c r="E39" s="108">
        <v>28</v>
      </c>
      <c r="F39" s="103">
        <f t="shared" si="2"/>
        <v>7000</v>
      </c>
    </row>
    <row r="40" spans="1:13" ht="28.9" customHeight="1">
      <c r="A40" s="141" t="s">
        <v>201</v>
      </c>
      <c r="B40" s="95" t="s">
        <v>44</v>
      </c>
      <c r="C40" s="95" t="s">
        <v>52</v>
      </c>
      <c r="D40" s="96">
        <v>25000</v>
      </c>
      <c r="E40" s="97">
        <v>1</v>
      </c>
      <c r="F40" s="98">
        <f t="shared" si="2"/>
        <v>25000</v>
      </c>
    </row>
    <row r="41" spans="1:13" ht="27.6" customHeight="1">
      <c r="A41" s="208"/>
      <c r="B41" s="209"/>
      <c r="C41" s="210"/>
      <c r="D41" s="241" t="s">
        <v>2</v>
      </c>
      <c r="E41" s="241"/>
      <c r="F41" s="142">
        <f>SUM(F35:F40)</f>
        <v>55858.666666666664</v>
      </c>
    </row>
    <row r="42" spans="1:13" s="1" customFormat="1" ht="27.6" customHeight="1">
      <c r="A42" s="214" t="s">
        <v>96</v>
      </c>
      <c r="B42" s="215"/>
      <c r="C42" s="215"/>
      <c r="D42" s="215"/>
      <c r="E42" s="215"/>
      <c r="F42" s="216"/>
      <c r="H42" s="2"/>
      <c r="I42" s="2"/>
      <c r="J42" s="2"/>
      <c r="K42" s="2"/>
      <c r="L42" s="2"/>
      <c r="M42" s="2"/>
    </row>
    <row r="43" spans="1:13" s="1" customFormat="1" ht="27.6" customHeight="1">
      <c r="A43" s="122" t="s">
        <v>46</v>
      </c>
      <c r="B43" s="123" t="s">
        <v>47</v>
      </c>
      <c r="C43" s="123" t="s">
        <v>48</v>
      </c>
      <c r="D43" s="124" t="s">
        <v>49</v>
      </c>
      <c r="E43" s="124" t="s">
        <v>50</v>
      </c>
      <c r="F43" s="124" t="s">
        <v>51</v>
      </c>
      <c r="H43" s="2"/>
      <c r="I43" s="2"/>
      <c r="J43" s="2"/>
      <c r="K43" s="2"/>
      <c r="L43" s="2"/>
      <c r="M43" s="2"/>
    </row>
    <row r="44" spans="1:13" s="1" customFormat="1" ht="27.6" customHeight="1">
      <c r="A44" s="125" t="s">
        <v>144</v>
      </c>
      <c r="B44" s="99" t="s">
        <v>98</v>
      </c>
      <c r="C44" s="99"/>
      <c r="D44" s="109">
        <f>(150000*1.05)/30</f>
        <v>5250</v>
      </c>
      <c r="E44" s="110">
        <v>1</v>
      </c>
      <c r="F44" s="111">
        <f>D44*E44</f>
        <v>5250</v>
      </c>
      <c r="H44" s="2"/>
      <c r="I44" s="2"/>
      <c r="J44" s="2"/>
      <c r="K44" s="2"/>
      <c r="L44" s="2"/>
      <c r="M44" s="2"/>
    </row>
    <row r="45" spans="1:13" s="1" customFormat="1" ht="27.6" customHeight="1">
      <c r="A45" s="125" t="s">
        <v>145</v>
      </c>
      <c r="B45" s="99" t="s">
        <v>97</v>
      </c>
      <c r="C45" s="99"/>
      <c r="D45" s="109">
        <f>(45000*1.05)/30</f>
        <v>1575</v>
      </c>
      <c r="E45" s="110">
        <v>1</v>
      </c>
      <c r="F45" s="111">
        <f t="shared" ref="F45:F63" si="3">E45*D45</f>
        <v>1575</v>
      </c>
      <c r="H45" s="2"/>
      <c r="I45" s="2"/>
      <c r="J45" s="2"/>
      <c r="K45" s="2"/>
      <c r="L45" s="2"/>
      <c r="M45" s="2"/>
    </row>
    <row r="46" spans="1:13" s="1" customFormat="1" ht="27.6" customHeight="1">
      <c r="A46" s="125" t="s">
        <v>12</v>
      </c>
      <c r="B46" s="99" t="s">
        <v>99</v>
      </c>
      <c r="C46" s="99"/>
      <c r="D46" s="109">
        <f>(40000*1.05)/30</f>
        <v>1400</v>
      </c>
      <c r="E46" s="110">
        <v>1</v>
      </c>
      <c r="F46" s="111">
        <f t="shared" si="3"/>
        <v>1400</v>
      </c>
      <c r="H46" s="2"/>
      <c r="I46" s="2"/>
      <c r="J46" s="2"/>
      <c r="K46" s="2"/>
      <c r="L46" s="2"/>
      <c r="M46" s="2"/>
    </row>
    <row r="47" spans="1:13" s="1" customFormat="1" ht="27.6" customHeight="1">
      <c r="A47" s="125" t="s">
        <v>13</v>
      </c>
      <c r="B47" s="99" t="s">
        <v>100</v>
      </c>
      <c r="C47" s="99"/>
      <c r="D47" s="109">
        <f>(10000*1.05)/30</f>
        <v>350</v>
      </c>
      <c r="E47" s="110">
        <v>12</v>
      </c>
      <c r="F47" s="111">
        <f t="shared" si="3"/>
        <v>4200</v>
      </c>
      <c r="H47" s="2"/>
      <c r="I47" s="2"/>
      <c r="J47" s="2"/>
      <c r="K47" s="2"/>
      <c r="L47" s="2"/>
      <c r="M47" s="2"/>
    </row>
    <row r="48" spans="1:13" s="1" customFormat="1" ht="27.6" customHeight="1">
      <c r="A48" s="125" t="s">
        <v>14</v>
      </c>
      <c r="B48" s="99" t="s">
        <v>101</v>
      </c>
      <c r="C48" s="99"/>
      <c r="D48" s="109">
        <f>15000/30</f>
        <v>500</v>
      </c>
      <c r="E48" s="110">
        <v>12</v>
      </c>
      <c r="F48" s="111">
        <f t="shared" si="3"/>
        <v>6000</v>
      </c>
      <c r="H48" s="2"/>
      <c r="I48" s="2"/>
      <c r="J48" s="2"/>
      <c r="K48" s="2"/>
      <c r="L48" s="2"/>
      <c r="M48" s="2"/>
    </row>
    <row r="49" spans="1:13" s="1" customFormat="1" ht="27.6" customHeight="1">
      <c r="A49" s="125" t="s">
        <v>15</v>
      </c>
      <c r="B49" s="99" t="s">
        <v>102</v>
      </c>
      <c r="C49" s="99"/>
      <c r="D49" s="109">
        <f>(50000*1.05)/30</f>
        <v>1750</v>
      </c>
      <c r="E49" s="110">
        <v>1</v>
      </c>
      <c r="F49" s="111">
        <f t="shared" si="3"/>
        <v>1750</v>
      </c>
      <c r="H49" s="2"/>
      <c r="I49" s="2"/>
      <c r="J49" s="2"/>
      <c r="K49" s="2"/>
      <c r="L49" s="2"/>
      <c r="M49" s="2"/>
    </row>
    <row r="50" spans="1:13" s="1" customFormat="1" ht="46.9" customHeight="1">
      <c r="A50" s="125" t="s">
        <v>16</v>
      </c>
      <c r="B50" s="99" t="s">
        <v>103</v>
      </c>
      <c r="C50" s="99" t="s">
        <v>104</v>
      </c>
      <c r="D50" s="109">
        <f>(150000*1.05)/30</f>
        <v>5250</v>
      </c>
      <c r="E50" s="110">
        <v>1</v>
      </c>
      <c r="F50" s="111">
        <f t="shared" si="3"/>
        <v>5250</v>
      </c>
      <c r="H50" s="2"/>
      <c r="I50" s="2"/>
      <c r="J50" s="2"/>
      <c r="K50" s="2"/>
      <c r="L50" s="2"/>
      <c r="M50" s="2"/>
    </row>
    <row r="51" spans="1:13" s="1" customFormat="1" ht="27.6" customHeight="1">
      <c r="A51" s="125" t="s">
        <v>17</v>
      </c>
      <c r="B51" s="99" t="s">
        <v>105</v>
      </c>
      <c r="C51" s="99"/>
      <c r="D51" s="109">
        <f>(2500*1.05)/30</f>
        <v>87.5</v>
      </c>
      <c r="E51" s="110">
        <v>4</v>
      </c>
      <c r="F51" s="111">
        <f t="shared" si="3"/>
        <v>350</v>
      </c>
      <c r="H51" s="2"/>
      <c r="I51" s="2"/>
      <c r="J51" s="2"/>
      <c r="K51" s="2"/>
      <c r="L51" s="2"/>
      <c r="M51" s="2"/>
    </row>
    <row r="52" spans="1:13" s="1" customFormat="1" ht="27.6" customHeight="1">
      <c r="A52" s="125" t="s">
        <v>18</v>
      </c>
      <c r="B52" s="99" t="s">
        <v>106</v>
      </c>
      <c r="C52" s="99"/>
      <c r="D52" s="109">
        <f>(25000*1.05)/30</f>
        <v>875</v>
      </c>
      <c r="E52" s="110">
        <v>3</v>
      </c>
      <c r="F52" s="111">
        <f t="shared" si="3"/>
        <v>2625</v>
      </c>
      <c r="H52" s="2"/>
      <c r="I52" s="2"/>
      <c r="J52" s="2"/>
      <c r="K52" s="2"/>
      <c r="L52" s="2"/>
      <c r="M52" s="2"/>
    </row>
    <row r="53" spans="1:13" s="1" customFormat="1" ht="27.6" customHeight="1">
      <c r="A53" s="125" t="s">
        <v>146</v>
      </c>
      <c r="B53" s="99" t="s">
        <v>107</v>
      </c>
      <c r="C53" s="99"/>
      <c r="D53" s="109">
        <f>(1000*1.05)/30</f>
        <v>35</v>
      </c>
      <c r="E53" s="110">
        <v>20</v>
      </c>
      <c r="F53" s="111">
        <f t="shared" si="3"/>
        <v>700</v>
      </c>
      <c r="H53" s="2"/>
      <c r="I53" s="2"/>
      <c r="J53" s="2"/>
      <c r="K53" s="2"/>
      <c r="L53" s="2"/>
      <c r="M53" s="2"/>
    </row>
    <row r="54" spans="1:13" s="1" customFormat="1" ht="27.6" customHeight="1">
      <c r="A54" s="125" t="s">
        <v>147</v>
      </c>
      <c r="B54" s="112" t="s">
        <v>108</v>
      </c>
      <c r="C54" s="112"/>
      <c r="D54" s="113">
        <f>(2000*1.05)/30</f>
        <v>70</v>
      </c>
      <c r="E54" s="114">
        <v>20</v>
      </c>
      <c r="F54" s="115">
        <f t="shared" si="3"/>
        <v>1400</v>
      </c>
      <c r="H54" s="2"/>
      <c r="I54" s="2"/>
      <c r="J54" s="2"/>
      <c r="K54" s="2"/>
      <c r="L54" s="2"/>
      <c r="M54" s="2"/>
    </row>
    <row r="55" spans="1:13" s="1" customFormat="1" ht="27.6" customHeight="1">
      <c r="A55" s="125" t="s">
        <v>148</v>
      </c>
      <c r="B55" s="191" t="s">
        <v>211</v>
      </c>
      <c r="C55" s="143" t="s">
        <v>109</v>
      </c>
      <c r="D55" s="113">
        <f>55000/30</f>
        <v>1833.3333333333333</v>
      </c>
      <c r="E55" s="117">
        <v>1</v>
      </c>
      <c r="F55" s="118">
        <f t="shared" si="3"/>
        <v>1833.3333333333333</v>
      </c>
      <c r="H55" s="2"/>
      <c r="I55" s="2"/>
      <c r="J55" s="2"/>
      <c r="K55" s="2"/>
      <c r="L55" s="2"/>
      <c r="M55" s="2"/>
    </row>
    <row r="56" spans="1:13" s="1" customFormat="1" ht="27.6" customHeight="1">
      <c r="A56" s="125" t="s">
        <v>149</v>
      </c>
      <c r="B56" s="191"/>
      <c r="C56" s="95" t="s">
        <v>110</v>
      </c>
      <c r="D56" s="116">
        <f>(120000*1.05)/30</f>
        <v>4200</v>
      </c>
      <c r="E56" s="117">
        <v>1</v>
      </c>
      <c r="F56" s="118">
        <f>E56*D56</f>
        <v>4200</v>
      </c>
      <c r="H56" s="2"/>
      <c r="I56" s="2"/>
      <c r="J56" s="2"/>
      <c r="K56" s="2"/>
      <c r="L56" s="2"/>
      <c r="M56" s="2"/>
    </row>
    <row r="57" spans="1:13" ht="31.7" customHeight="1">
      <c r="A57" s="125" t="s">
        <v>150</v>
      </c>
      <c r="B57" s="217" t="s">
        <v>111</v>
      </c>
      <c r="C57" s="144" t="s">
        <v>112</v>
      </c>
      <c r="D57" s="145">
        <f>(800*1.05)/30</f>
        <v>28</v>
      </c>
      <c r="E57" s="146">
        <v>200</v>
      </c>
      <c r="F57" s="147">
        <f t="shared" si="3"/>
        <v>5600</v>
      </c>
    </row>
    <row r="58" spans="1:13" ht="27.6" customHeight="1">
      <c r="A58" s="125" t="s">
        <v>151</v>
      </c>
      <c r="B58" s="218"/>
      <c r="C58" s="99" t="s">
        <v>113</v>
      </c>
      <c r="D58" s="109">
        <f>(60*1.05)/30</f>
        <v>2.1</v>
      </c>
      <c r="E58" s="110">
        <v>200</v>
      </c>
      <c r="F58" s="111">
        <f t="shared" si="3"/>
        <v>420</v>
      </c>
      <c r="G58" s="67"/>
    </row>
    <row r="59" spans="1:13">
      <c r="A59" s="125" t="s">
        <v>152</v>
      </c>
      <c r="B59" s="218"/>
      <c r="C59" s="99" t="s">
        <v>114</v>
      </c>
      <c r="D59" s="109">
        <f>(500*1.05)/30</f>
        <v>17.5</v>
      </c>
      <c r="E59" s="110">
        <v>200</v>
      </c>
      <c r="F59" s="111">
        <f t="shared" si="3"/>
        <v>3500</v>
      </c>
    </row>
    <row r="60" spans="1:13" ht="31.15" customHeight="1">
      <c r="A60" s="125" t="s">
        <v>153</v>
      </c>
      <c r="B60" s="99" t="s">
        <v>115</v>
      </c>
      <c r="C60" s="99" t="s">
        <v>116</v>
      </c>
      <c r="D60" s="109">
        <f>(7000*1.05)/30</f>
        <v>245</v>
      </c>
      <c r="E60" s="110">
        <v>20</v>
      </c>
      <c r="F60" s="111">
        <f t="shared" si="3"/>
        <v>4900</v>
      </c>
    </row>
    <row r="61" spans="1:13" ht="31.15" customHeight="1">
      <c r="A61" s="125" t="s">
        <v>154</v>
      </c>
      <c r="B61" s="99" t="s">
        <v>117</v>
      </c>
      <c r="C61" s="99"/>
      <c r="D61" s="109">
        <f>(50000*1.05)/30</f>
        <v>1750</v>
      </c>
      <c r="E61" s="110">
        <v>1</v>
      </c>
      <c r="F61" s="111">
        <f t="shared" si="3"/>
        <v>1750</v>
      </c>
    </row>
    <row r="62" spans="1:13" ht="27.6" customHeight="1">
      <c r="A62" s="125" t="s">
        <v>155</v>
      </c>
      <c r="B62" s="99" t="s">
        <v>118</v>
      </c>
      <c r="C62" s="99"/>
      <c r="D62" s="109">
        <f>(40000*1.05)/30</f>
        <v>1400</v>
      </c>
      <c r="E62" s="110">
        <v>1</v>
      </c>
      <c r="F62" s="111">
        <f t="shared" si="3"/>
        <v>1400</v>
      </c>
    </row>
    <row r="63" spans="1:13" ht="27.6" customHeight="1">
      <c r="A63" s="125" t="s">
        <v>156</v>
      </c>
      <c r="B63" s="99" t="s">
        <v>119</v>
      </c>
      <c r="C63" s="99"/>
      <c r="D63" s="127">
        <f>(50000*1.05)/30</f>
        <v>1750</v>
      </c>
      <c r="E63" s="128">
        <v>1</v>
      </c>
      <c r="F63" s="137">
        <f t="shared" si="3"/>
        <v>1750</v>
      </c>
    </row>
    <row r="64" spans="1:13" ht="27.6" customHeight="1">
      <c r="A64" s="219"/>
      <c r="B64" s="220"/>
      <c r="C64" s="221"/>
      <c r="D64" s="211" t="s">
        <v>2</v>
      </c>
      <c r="E64" s="211"/>
      <c r="F64" s="148">
        <f>SUM(F44:F63)</f>
        <v>55853.333333333328</v>
      </c>
    </row>
    <row r="65" spans="1:13" ht="27.6" customHeight="1">
      <c r="A65" s="212" t="s">
        <v>173</v>
      </c>
      <c r="B65" s="212"/>
      <c r="C65" s="212"/>
      <c r="D65" s="212"/>
      <c r="E65" s="212"/>
      <c r="F65" s="212"/>
    </row>
    <row r="66" spans="1:13" ht="27.6" customHeight="1">
      <c r="A66" s="122" t="s">
        <v>46</v>
      </c>
      <c r="B66" s="123" t="s">
        <v>47</v>
      </c>
      <c r="C66" s="123" t="s">
        <v>48</v>
      </c>
      <c r="D66" s="124" t="s">
        <v>49</v>
      </c>
      <c r="E66" s="124" t="s">
        <v>50</v>
      </c>
      <c r="F66" s="124" t="s">
        <v>51</v>
      </c>
    </row>
    <row r="67" spans="1:13">
      <c r="A67" s="149" t="s">
        <v>19</v>
      </c>
      <c r="B67" s="99" t="s">
        <v>120</v>
      </c>
      <c r="C67" s="99" t="s">
        <v>121</v>
      </c>
      <c r="D67" s="109">
        <f>70/30</f>
        <v>2.3333333333333335</v>
      </c>
      <c r="E67" s="110">
        <v>1000</v>
      </c>
      <c r="F67" s="111">
        <f t="shared" ref="F67:F72" si="4">D67*E67</f>
        <v>2333.3333333333335</v>
      </c>
    </row>
    <row r="68" spans="1:13" ht="27.6" customHeight="1">
      <c r="A68" s="149" t="s">
        <v>158</v>
      </c>
      <c r="B68" s="99" t="s">
        <v>122</v>
      </c>
      <c r="C68" s="99"/>
      <c r="D68" s="109">
        <f>150/30</f>
        <v>5</v>
      </c>
      <c r="E68" s="110">
        <v>1000</v>
      </c>
      <c r="F68" s="111">
        <f t="shared" si="4"/>
        <v>5000</v>
      </c>
    </row>
    <row r="69" spans="1:13" ht="39.75" customHeight="1">
      <c r="A69" s="149" t="s">
        <v>20</v>
      </c>
      <c r="B69" s="99" t="s">
        <v>207</v>
      </c>
      <c r="C69" s="99" t="s">
        <v>208</v>
      </c>
      <c r="D69" s="109">
        <v>12</v>
      </c>
      <c r="E69" s="110">
        <v>1500</v>
      </c>
      <c r="F69" s="111">
        <f t="shared" si="4"/>
        <v>18000</v>
      </c>
    </row>
    <row r="70" spans="1:13" ht="27.6" customHeight="1">
      <c r="A70" s="149" t="s">
        <v>21</v>
      </c>
      <c r="B70" s="99" t="s">
        <v>123</v>
      </c>
      <c r="C70" s="99" t="s">
        <v>124</v>
      </c>
      <c r="D70" s="109">
        <f>53/30</f>
        <v>1.7666666666666666</v>
      </c>
      <c r="E70" s="110">
        <v>100</v>
      </c>
      <c r="F70" s="111">
        <f t="shared" si="4"/>
        <v>176.66666666666666</v>
      </c>
    </row>
    <row r="71" spans="1:13" s="1" customFormat="1" ht="27.6" customHeight="1">
      <c r="A71" s="149" t="s">
        <v>22</v>
      </c>
      <c r="B71" s="150" t="s">
        <v>125</v>
      </c>
      <c r="C71" s="150"/>
      <c r="D71" s="127">
        <f>(20*1.05)/30</f>
        <v>0.7</v>
      </c>
      <c r="E71" s="128">
        <v>500</v>
      </c>
      <c r="F71" s="137">
        <f t="shared" si="4"/>
        <v>350</v>
      </c>
      <c r="H71" s="2"/>
      <c r="I71" s="2"/>
      <c r="J71" s="2"/>
      <c r="K71" s="2"/>
      <c r="L71" s="2"/>
      <c r="M71" s="2"/>
    </row>
    <row r="72" spans="1:13" s="1" customFormat="1" ht="27.6" customHeight="1">
      <c r="A72" s="149" t="s">
        <v>210</v>
      </c>
      <c r="B72" s="150" t="s">
        <v>126</v>
      </c>
      <c r="C72" s="150"/>
      <c r="D72" s="127">
        <f>(100*1.05)/30</f>
        <v>3.5</v>
      </c>
      <c r="E72" s="128">
        <v>300</v>
      </c>
      <c r="F72" s="137">
        <f t="shared" si="4"/>
        <v>1050</v>
      </c>
      <c r="H72" s="2"/>
      <c r="I72" s="2"/>
      <c r="J72" s="2"/>
      <c r="K72" s="2"/>
      <c r="L72" s="2"/>
      <c r="M72" s="2"/>
    </row>
    <row r="73" spans="1:13" s="1" customFormat="1" ht="27.6" customHeight="1">
      <c r="A73" s="213"/>
      <c r="B73" s="213"/>
      <c r="C73" s="213"/>
      <c r="D73" s="211" t="s">
        <v>2</v>
      </c>
      <c r="E73" s="211"/>
      <c r="F73" s="148">
        <f>SUM(F67:F72)</f>
        <v>26910.000000000004</v>
      </c>
      <c r="H73" s="2"/>
      <c r="I73" s="2"/>
      <c r="J73" s="2"/>
      <c r="K73" s="2"/>
      <c r="L73" s="2"/>
      <c r="M73" s="2"/>
    </row>
    <row r="74" spans="1:13" s="1" customFormat="1" ht="27.6" customHeight="1">
      <c r="A74" s="214" t="s">
        <v>159</v>
      </c>
      <c r="B74" s="215"/>
      <c r="C74" s="215"/>
      <c r="D74" s="215"/>
      <c r="E74" s="215"/>
      <c r="F74" s="216"/>
      <c r="H74" s="2"/>
      <c r="I74" s="2"/>
      <c r="J74" s="2"/>
      <c r="K74" s="2"/>
      <c r="L74" s="2"/>
      <c r="M74" s="2"/>
    </row>
    <row r="75" spans="1:13" s="1" customFormat="1" ht="27.6" customHeight="1">
      <c r="A75" s="122" t="s">
        <v>46</v>
      </c>
      <c r="B75" s="123" t="s">
        <v>47</v>
      </c>
      <c r="C75" s="123" t="s">
        <v>48</v>
      </c>
      <c r="D75" s="124" t="s">
        <v>49</v>
      </c>
      <c r="E75" s="124" t="s">
        <v>50</v>
      </c>
      <c r="F75" s="124" t="s">
        <v>51</v>
      </c>
      <c r="H75" s="2"/>
      <c r="I75" s="2"/>
      <c r="J75" s="2"/>
      <c r="K75" s="2"/>
      <c r="L75" s="2"/>
      <c r="M75" s="2"/>
    </row>
    <row r="76" spans="1:13" s="1" customFormat="1">
      <c r="A76" s="125" t="s">
        <v>160</v>
      </c>
      <c r="B76" s="112" t="s">
        <v>128</v>
      </c>
      <c r="C76" s="99" t="s">
        <v>205</v>
      </c>
      <c r="D76" s="127">
        <f>(25000*1.05)/30</f>
        <v>875</v>
      </c>
      <c r="E76" s="128">
        <v>32</v>
      </c>
      <c r="F76" s="137">
        <f>E76*D76</f>
        <v>28000</v>
      </c>
      <c r="H76" s="2"/>
      <c r="I76" s="2"/>
      <c r="J76" s="2"/>
      <c r="K76" s="2"/>
      <c r="L76" s="2"/>
      <c r="M76" s="2"/>
    </row>
    <row r="77" spans="1:13" s="1" customFormat="1" ht="27.6" customHeight="1">
      <c r="A77" s="125" t="s">
        <v>127</v>
      </c>
      <c r="B77" s="99" t="s">
        <v>129</v>
      </c>
      <c r="C77" s="99" t="s">
        <v>130</v>
      </c>
      <c r="D77" s="109">
        <f>(15000*1.05)/30</f>
        <v>525</v>
      </c>
      <c r="E77" s="110">
        <v>10</v>
      </c>
      <c r="F77" s="111">
        <f>+E77*D77</f>
        <v>5250</v>
      </c>
      <c r="H77" s="2"/>
      <c r="I77" s="2"/>
      <c r="J77" s="2"/>
      <c r="K77" s="2"/>
      <c r="L77" s="2"/>
      <c r="M77" s="2"/>
    </row>
    <row r="78" spans="1:13" s="1" customFormat="1" ht="27.6" customHeight="1">
      <c r="A78" s="125" t="s">
        <v>23</v>
      </c>
      <c r="B78" s="151" t="s">
        <v>131</v>
      </c>
      <c r="C78" s="99" t="s">
        <v>26</v>
      </c>
      <c r="D78" s="109">
        <f>(60000*1.05)/30</f>
        <v>2100</v>
      </c>
      <c r="E78" s="110">
        <v>2</v>
      </c>
      <c r="F78" s="111">
        <f>D78*E78</f>
        <v>4200</v>
      </c>
      <c r="H78" s="2"/>
      <c r="I78" s="2"/>
      <c r="J78" s="2"/>
      <c r="K78" s="2"/>
      <c r="L78" s="2"/>
      <c r="M78" s="2"/>
    </row>
    <row r="79" spans="1:13" s="1" customFormat="1" ht="27.6" customHeight="1">
      <c r="A79" s="125" t="s">
        <v>24</v>
      </c>
      <c r="B79" s="151" t="s">
        <v>132</v>
      </c>
      <c r="C79" s="99" t="s">
        <v>26</v>
      </c>
      <c r="D79" s="109">
        <f>(55000*1.05)/30</f>
        <v>1925</v>
      </c>
      <c r="E79" s="110">
        <v>2</v>
      </c>
      <c r="F79" s="111">
        <f>D79*E79</f>
        <v>3850</v>
      </c>
      <c r="H79" s="2"/>
      <c r="I79" s="2"/>
      <c r="J79" s="2"/>
      <c r="K79" s="2"/>
      <c r="L79" s="2"/>
      <c r="M79" s="2"/>
    </row>
    <row r="80" spans="1:13" s="1" customFormat="1" ht="27.6" customHeight="1">
      <c r="A80" s="219"/>
      <c r="B80" s="220"/>
      <c r="C80" s="221"/>
      <c r="D80" s="211" t="s">
        <v>2</v>
      </c>
      <c r="E80" s="211"/>
      <c r="F80" s="148">
        <f>SUM(F76:F79)</f>
        <v>41300</v>
      </c>
      <c r="H80" s="2"/>
      <c r="I80" s="2"/>
      <c r="J80" s="2"/>
      <c r="K80" s="2"/>
      <c r="L80" s="2"/>
      <c r="M80" s="2"/>
    </row>
    <row r="81" spans="1:13" s="1" customFormat="1" ht="27.6" customHeight="1">
      <c r="A81" s="212" t="s">
        <v>161</v>
      </c>
      <c r="B81" s="212"/>
      <c r="C81" s="212"/>
      <c r="D81" s="212"/>
      <c r="E81" s="212"/>
      <c r="F81" s="212"/>
      <c r="H81" s="2"/>
      <c r="I81" s="2"/>
      <c r="J81" s="2"/>
      <c r="K81" s="2"/>
      <c r="L81" s="2"/>
      <c r="M81" s="2"/>
    </row>
    <row r="82" spans="1:13" s="1" customFormat="1" ht="27.6" customHeight="1">
      <c r="A82" s="139" t="s">
        <v>46</v>
      </c>
      <c r="B82" s="140" t="s">
        <v>47</v>
      </c>
      <c r="C82" s="140" t="s">
        <v>48</v>
      </c>
      <c r="D82" s="124" t="s">
        <v>49</v>
      </c>
      <c r="E82" s="124" t="s">
        <v>50</v>
      </c>
      <c r="F82" s="124" t="s">
        <v>51</v>
      </c>
      <c r="H82" s="2"/>
      <c r="I82" s="2"/>
      <c r="J82" s="2"/>
      <c r="K82" s="2"/>
      <c r="L82" s="2"/>
      <c r="M82" s="2"/>
    </row>
    <row r="83" spans="1:13" s="1" customFormat="1" ht="27.6" customHeight="1">
      <c r="A83" s="131" t="s">
        <v>25</v>
      </c>
      <c r="B83" s="95" t="s">
        <v>133</v>
      </c>
      <c r="C83" s="95" t="s">
        <v>134</v>
      </c>
      <c r="D83" s="152">
        <v>800</v>
      </c>
      <c r="E83" s="117">
        <v>1</v>
      </c>
      <c r="F83" s="118">
        <f>+E83*D83</f>
        <v>800</v>
      </c>
      <c r="H83" s="2"/>
      <c r="I83" s="2"/>
      <c r="J83" s="2"/>
      <c r="K83" s="2"/>
      <c r="L83" s="2"/>
      <c r="M83" s="2"/>
    </row>
    <row r="84" spans="1:13" ht="38.25" customHeight="1">
      <c r="A84" s="131" t="s">
        <v>162</v>
      </c>
      <c r="B84" s="95" t="s">
        <v>69</v>
      </c>
      <c r="C84" s="95"/>
      <c r="D84" s="96">
        <f>(D5*0.03)</f>
        <v>13869</v>
      </c>
      <c r="E84" s="97">
        <v>1</v>
      </c>
      <c r="F84" s="98">
        <f>D84*E84</f>
        <v>13869</v>
      </c>
    </row>
    <row r="85" spans="1:13" s="1" customFormat="1" ht="27.6" customHeight="1">
      <c r="A85" s="131" t="s">
        <v>163</v>
      </c>
      <c r="B85" s="95" t="s">
        <v>136</v>
      </c>
      <c r="C85" s="95"/>
      <c r="D85" s="153">
        <f>(700000*1.05)/30</f>
        <v>24500</v>
      </c>
      <c r="E85" s="125">
        <v>1</v>
      </c>
      <c r="F85" s="111">
        <f>D85*E85</f>
        <v>24500</v>
      </c>
      <c r="H85" s="2"/>
      <c r="I85" s="2"/>
      <c r="J85" s="2"/>
      <c r="K85" s="2"/>
      <c r="L85" s="2"/>
      <c r="M85" s="2"/>
    </row>
    <row r="86" spans="1:13" s="1" customFormat="1">
      <c r="A86" s="131" t="s">
        <v>215</v>
      </c>
      <c r="B86" s="95" t="s">
        <v>135</v>
      </c>
      <c r="C86" s="95"/>
      <c r="D86" s="152">
        <v>3700</v>
      </c>
      <c r="E86" s="117">
        <v>1</v>
      </c>
      <c r="F86" s="118">
        <f>+E86*D86</f>
        <v>3700</v>
      </c>
      <c r="H86" s="2"/>
      <c r="I86" s="2"/>
      <c r="J86" s="2"/>
      <c r="K86" s="2"/>
      <c r="L86" s="2"/>
      <c r="M86" s="2"/>
    </row>
    <row r="87" spans="1:13" ht="27.6" customHeight="1">
      <c r="A87" s="208"/>
      <c r="B87" s="209"/>
      <c r="C87" s="210"/>
      <c r="D87" s="241" t="s">
        <v>2</v>
      </c>
      <c r="E87" s="241"/>
      <c r="F87" s="154">
        <f>SUM(F83:F86)</f>
        <v>42869</v>
      </c>
    </row>
    <row r="88" spans="1:13" ht="27.6" customHeight="1">
      <c r="A88" s="212" t="s">
        <v>164</v>
      </c>
      <c r="B88" s="212"/>
      <c r="C88" s="212"/>
      <c r="D88" s="212"/>
      <c r="E88" s="212"/>
      <c r="F88" s="212"/>
    </row>
    <row r="89" spans="1:13" ht="27.6" customHeight="1">
      <c r="A89" s="122" t="s">
        <v>46</v>
      </c>
      <c r="B89" s="123" t="s">
        <v>47</v>
      </c>
      <c r="C89" s="123" t="s">
        <v>48</v>
      </c>
      <c r="D89" s="124" t="s">
        <v>49</v>
      </c>
      <c r="E89" s="124" t="s">
        <v>50</v>
      </c>
      <c r="F89" s="124" t="s">
        <v>51</v>
      </c>
    </row>
    <row r="90" spans="1:13">
      <c r="A90" s="125" t="s">
        <v>27</v>
      </c>
      <c r="B90" s="99" t="s">
        <v>138</v>
      </c>
      <c r="C90" s="99" t="s">
        <v>139</v>
      </c>
      <c r="D90" s="109">
        <f>(200000*1.05)/30</f>
        <v>7000</v>
      </c>
      <c r="E90" s="110">
        <v>1</v>
      </c>
      <c r="F90" s="111">
        <f>D90*E90</f>
        <v>7000</v>
      </c>
    </row>
    <row r="91" spans="1:13" ht="46.9" customHeight="1">
      <c r="A91" s="125" t="s">
        <v>28</v>
      </c>
      <c r="B91" s="99" t="s">
        <v>140</v>
      </c>
      <c r="C91" s="99" t="s">
        <v>141</v>
      </c>
      <c r="D91" s="109">
        <f>(150000*1.05)/30</f>
        <v>5250</v>
      </c>
      <c r="E91" s="110">
        <v>1</v>
      </c>
      <c r="F91" s="111">
        <f>D91*E91</f>
        <v>5250</v>
      </c>
    </row>
    <row r="92" spans="1:13" ht="27.6" customHeight="1">
      <c r="A92" s="125" t="s">
        <v>137</v>
      </c>
      <c r="B92" s="99" t="s">
        <v>142</v>
      </c>
      <c r="C92" s="99" t="s">
        <v>143</v>
      </c>
      <c r="D92" s="109">
        <f>15000/30</f>
        <v>500</v>
      </c>
      <c r="E92" s="110">
        <v>2</v>
      </c>
      <c r="F92" s="111">
        <f>D92*E92</f>
        <v>1000</v>
      </c>
    </row>
    <row r="93" spans="1:13" ht="27.6" customHeight="1">
      <c r="A93" s="213"/>
      <c r="B93" s="213"/>
      <c r="C93" s="213"/>
      <c r="D93" s="211" t="s">
        <v>2</v>
      </c>
      <c r="E93" s="211"/>
      <c r="F93" s="148">
        <f>SUM(F90:F92)</f>
        <v>13250</v>
      </c>
    </row>
    <row r="94" spans="1:13" ht="27.6" customHeight="1">
      <c r="A94" s="177"/>
      <c r="B94" s="178"/>
      <c r="C94" s="178"/>
      <c r="D94" s="178"/>
      <c r="E94" s="178"/>
      <c r="F94" s="179"/>
      <c r="G94" s="8"/>
    </row>
    <row r="95" spans="1:13" ht="27.6" customHeight="1">
      <c r="A95" s="233" t="s">
        <v>167</v>
      </c>
      <c r="B95" s="233"/>
      <c r="C95" s="233"/>
      <c r="D95" s="181">
        <f>F93+F87+F80+F73+F64+F41+F32+F24+F11</f>
        <v>537906</v>
      </c>
      <c r="E95" s="181"/>
      <c r="F95" s="181"/>
      <c r="G95" s="8"/>
    </row>
    <row r="96" spans="1:13" ht="27.6" customHeight="1">
      <c r="A96" s="231" t="s">
        <v>168</v>
      </c>
      <c r="B96" s="231"/>
      <c r="C96" s="231"/>
      <c r="D96" s="173">
        <f>D6-D95</f>
        <v>285108</v>
      </c>
      <c r="E96" s="173"/>
      <c r="F96" s="173"/>
      <c r="G96" s="8"/>
    </row>
    <row r="99" spans="7:7" ht="27.6" customHeight="1">
      <c r="G99" s="8"/>
    </row>
    <row r="101" spans="7:7" ht="27.6" customHeight="1">
      <c r="G101" s="8"/>
    </row>
    <row r="102" spans="7:7" ht="27.6" customHeight="1">
      <c r="G102" s="8"/>
    </row>
    <row r="103" spans="7:7" ht="27.6" customHeight="1">
      <c r="G103" s="9"/>
    </row>
  </sheetData>
  <mergeCells count="40">
    <mergeCell ref="A8:F8"/>
    <mergeCell ref="A1:F1"/>
    <mergeCell ref="A2:F2"/>
    <mergeCell ref="A6:C6"/>
    <mergeCell ref="D6:E6"/>
    <mergeCell ref="A7:F7"/>
    <mergeCell ref="A41:C41"/>
    <mergeCell ref="D41:E41"/>
    <mergeCell ref="A11:C11"/>
    <mergeCell ref="D11:E11"/>
    <mergeCell ref="A12:F12"/>
    <mergeCell ref="B18:B20"/>
    <mergeCell ref="A24:C24"/>
    <mergeCell ref="D24:E24"/>
    <mergeCell ref="A25:F25"/>
    <mergeCell ref="A32:C32"/>
    <mergeCell ref="D32:E32"/>
    <mergeCell ref="A33:F33"/>
    <mergeCell ref="A81:F81"/>
    <mergeCell ref="A42:F42"/>
    <mergeCell ref="B55:B56"/>
    <mergeCell ref="B57:B59"/>
    <mergeCell ref="A64:C64"/>
    <mergeCell ref="D64:E64"/>
    <mergeCell ref="A65:F65"/>
    <mergeCell ref="A73:C73"/>
    <mergeCell ref="D73:E73"/>
    <mergeCell ref="A74:F74"/>
    <mergeCell ref="A80:C80"/>
    <mergeCell ref="D80:E80"/>
    <mergeCell ref="A95:C95"/>
    <mergeCell ref="D95:F95"/>
    <mergeCell ref="A96:C96"/>
    <mergeCell ref="D96:F96"/>
    <mergeCell ref="A87:C87"/>
    <mergeCell ref="D87:E87"/>
    <mergeCell ref="A88:F88"/>
    <mergeCell ref="A93:C93"/>
    <mergeCell ref="D93:E93"/>
    <mergeCell ref="A94:F94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3AD58-F805-4343-8883-E278E4681206}">
  <dimension ref="A1:M104"/>
  <sheetViews>
    <sheetView topLeftCell="A82" zoomScale="85" zoomScaleNormal="85" workbookViewId="0">
      <selection activeCell="D4" sqref="D4"/>
    </sheetView>
  </sheetViews>
  <sheetFormatPr defaultColWidth="8.875" defaultRowHeight="16.5"/>
  <cols>
    <col min="1" max="1" width="8.875" style="2"/>
    <col min="2" max="2" width="35.375" style="2" customWidth="1"/>
    <col min="3" max="3" width="50.25" style="2" customWidth="1"/>
    <col min="4" max="4" width="16.25" style="2" customWidth="1"/>
    <col min="5" max="5" width="10.25" style="2" bestFit="1" customWidth="1"/>
    <col min="6" max="6" width="29.875" style="2" customWidth="1"/>
    <col min="7" max="7" width="14.125" style="1" bestFit="1" customWidth="1"/>
    <col min="8" max="12" width="8.875" style="2"/>
    <col min="13" max="13" width="15.25" style="2" bestFit="1" customWidth="1"/>
    <col min="14" max="16384" width="8.875" style="2"/>
  </cols>
  <sheetData>
    <row r="1" spans="1:6" ht="27.6" customHeight="1">
      <c r="A1" s="196" t="s">
        <v>45</v>
      </c>
      <c r="B1" s="196"/>
      <c r="C1" s="196"/>
      <c r="D1" s="196"/>
      <c r="E1" s="196"/>
      <c r="F1" s="196"/>
    </row>
    <row r="2" spans="1:6" ht="27.6" customHeight="1">
      <c r="A2" s="197" t="s">
        <v>56</v>
      </c>
      <c r="B2" s="197"/>
      <c r="C2" s="197"/>
      <c r="D2" s="197"/>
      <c r="E2" s="197"/>
      <c r="F2" s="197"/>
    </row>
    <row r="3" spans="1:6" ht="27.6" customHeight="1">
      <c r="A3" s="29" t="s">
        <v>46</v>
      </c>
      <c r="B3" s="30" t="s">
        <v>47</v>
      </c>
      <c r="C3" s="30" t="s">
        <v>48</v>
      </c>
      <c r="D3" s="31" t="s">
        <v>49</v>
      </c>
      <c r="E3" s="31" t="s">
        <v>50</v>
      </c>
      <c r="F3" s="31" t="s">
        <v>51</v>
      </c>
    </row>
    <row r="4" spans="1:6" ht="27.6" customHeight="1">
      <c r="A4" s="32">
        <v>1</v>
      </c>
      <c r="B4" s="33" t="s">
        <v>53</v>
      </c>
      <c r="C4" s="34"/>
      <c r="D4" s="80">
        <f>10821420/30</f>
        <v>360714</v>
      </c>
      <c r="E4" s="32">
        <v>1</v>
      </c>
      <c r="F4" s="43">
        <f>D4*E4</f>
        <v>360714</v>
      </c>
    </row>
    <row r="5" spans="1:6" ht="26.45" customHeight="1">
      <c r="A5" s="32">
        <v>2</v>
      </c>
      <c r="B5" s="35" t="s">
        <v>54</v>
      </c>
      <c r="C5" s="36"/>
      <c r="D5" s="81">
        <f>'Registration Fee'!Z66/30</f>
        <v>654290</v>
      </c>
      <c r="E5" s="37">
        <v>1</v>
      </c>
      <c r="F5" s="43">
        <f>D5*E5</f>
        <v>654290</v>
      </c>
    </row>
    <row r="6" spans="1:6" ht="27.6" customHeight="1">
      <c r="A6" s="172"/>
      <c r="B6" s="172"/>
      <c r="C6" s="172"/>
      <c r="D6" s="199" t="s">
        <v>166</v>
      </c>
      <c r="E6" s="200"/>
      <c r="F6" s="77">
        <f>D4+D5</f>
        <v>1015004</v>
      </c>
    </row>
    <row r="7" spans="1:6" ht="27.6" customHeight="1">
      <c r="A7" s="201"/>
      <c r="B7" s="202"/>
      <c r="C7" s="202"/>
      <c r="D7" s="202"/>
      <c r="E7" s="202"/>
      <c r="F7" s="203"/>
    </row>
    <row r="8" spans="1:6" ht="27.6" customHeight="1">
      <c r="A8" s="230" t="s">
        <v>57</v>
      </c>
      <c r="B8" s="230"/>
      <c r="C8" s="230"/>
      <c r="D8" s="230"/>
      <c r="E8" s="230"/>
      <c r="F8" s="230"/>
    </row>
    <row r="9" spans="1:6" ht="27.6" customHeight="1">
      <c r="A9" s="222" t="s">
        <v>70</v>
      </c>
      <c r="B9" s="223"/>
      <c r="C9" s="223"/>
      <c r="D9" s="223"/>
      <c r="E9" s="223"/>
      <c r="F9" s="223"/>
    </row>
    <row r="10" spans="1:6" ht="27.6" customHeight="1">
      <c r="A10" s="122" t="s">
        <v>46</v>
      </c>
      <c r="B10" s="123" t="s">
        <v>47</v>
      </c>
      <c r="C10" s="123" t="s">
        <v>48</v>
      </c>
      <c r="D10" s="124" t="s">
        <v>49</v>
      </c>
      <c r="E10" s="124" t="s">
        <v>50</v>
      </c>
      <c r="F10" s="124" t="s">
        <v>51</v>
      </c>
    </row>
    <row r="11" spans="1:6" ht="27.6" customHeight="1">
      <c r="A11" s="125" t="s">
        <v>1</v>
      </c>
      <c r="B11" s="99" t="s">
        <v>55</v>
      </c>
      <c r="C11" s="126"/>
      <c r="D11" s="127">
        <f>3500000/30</f>
        <v>116666.66666666667</v>
      </c>
      <c r="E11" s="128">
        <v>1</v>
      </c>
      <c r="F11" s="129">
        <f>D11*E11</f>
        <v>116666.66666666667</v>
      </c>
    </row>
    <row r="12" spans="1:6" s="1" customFormat="1" ht="27.6" customHeight="1">
      <c r="A12" s="219"/>
      <c r="B12" s="220"/>
      <c r="C12" s="221"/>
      <c r="D12" s="211" t="s">
        <v>165</v>
      </c>
      <c r="E12" s="211"/>
      <c r="F12" s="130">
        <f>SUM(F11:F11)</f>
        <v>116666.66666666667</v>
      </c>
    </row>
    <row r="13" spans="1:6" s="1" customFormat="1" ht="27.6" customHeight="1">
      <c r="A13" s="224" t="s">
        <v>71</v>
      </c>
      <c r="B13" s="225"/>
      <c r="C13" s="225"/>
      <c r="D13" s="225"/>
      <c r="E13" s="225"/>
      <c r="F13" s="226"/>
    </row>
    <row r="14" spans="1:6" s="1" customFormat="1" ht="27.6" customHeight="1">
      <c r="A14" s="122" t="s">
        <v>46</v>
      </c>
      <c r="B14" s="123" t="s">
        <v>47</v>
      </c>
      <c r="C14" s="123" t="s">
        <v>48</v>
      </c>
      <c r="D14" s="124" t="s">
        <v>49</v>
      </c>
      <c r="E14" s="124" t="s">
        <v>50</v>
      </c>
      <c r="F14" s="124" t="s">
        <v>51</v>
      </c>
    </row>
    <row r="15" spans="1:6" s="1" customFormat="1" ht="27.6" customHeight="1">
      <c r="A15" s="131" t="s">
        <v>3</v>
      </c>
      <c r="B15" s="132" t="s">
        <v>58</v>
      </c>
      <c r="C15" s="95"/>
      <c r="D15" s="107">
        <f>1500000/30</f>
        <v>50000</v>
      </c>
      <c r="E15" s="108">
        <v>1</v>
      </c>
      <c r="F15" s="118">
        <f t="shared" ref="F15:F24" si="0">D15*E15</f>
        <v>50000</v>
      </c>
    </row>
    <row r="16" spans="1:6" s="1" customFormat="1" ht="40.9" customHeight="1">
      <c r="A16" s="131" t="s">
        <v>75</v>
      </c>
      <c r="B16" s="99" t="s">
        <v>84</v>
      </c>
      <c r="C16" s="99" t="s">
        <v>206</v>
      </c>
      <c r="D16" s="109">
        <f>5000/30</f>
        <v>166.66666666666666</v>
      </c>
      <c r="E16" s="110">
        <v>17</v>
      </c>
      <c r="F16" s="111">
        <f t="shared" si="0"/>
        <v>2833.333333333333</v>
      </c>
    </row>
    <row r="17" spans="1:6" s="1" customFormat="1" ht="27.6" customHeight="1">
      <c r="A17" s="131" t="s">
        <v>76</v>
      </c>
      <c r="B17" s="112" t="s">
        <v>85</v>
      </c>
      <c r="C17" s="112" t="s">
        <v>86</v>
      </c>
      <c r="D17" s="113">
        <f>(85000*1.05)/30</f>
        <v>2975</v>
      </c>
      <c r="E17" s="114">
        <v>12</v>
      </c>
      <c r="F17" s="111">
        <f t="shared" si="0"/>
        <v>35700</v>
      </c>
    </row>
    <row r="18" spans="1:6" s="1" customFormat="1" ht="27.6" customHeight="1">
      <c r="A18" s="131" t="s">
        <v>77</v>
      </c>
      <c r="B18" s="112" t="s">
        <v>87</v>
      </c>
      <c r="C18" s="112"/>
      <c r="D18" s="113">
        <f>(12000*1.05)/30</f>
        <v>420</v>
      </c>
      <c r="E18" s="114">
        <v>1</v>
      </c>
      <c r="F18" s="115">
        <f t="shared" si="0"/>
        <v>420</v>
      </c>
    </row>
    <row r="19" spans="1:6" s="1" customFormat="1" ht="27.6" customHeight="1">
      <c r="A19" s="131" t="s">
        <v>78</v>
      </c>
      <c r="B19" s="191" t="s">
        <v>91</v>
      </c>
      <c r="C19" s="95" t="s">
        <v>89</v>
      </c>
      <c r="D19" s="116">
        <f>(180000*1.05)/30</f>
        <v>6300</v>
      </c>
      <c r="E19" s="117">
        <v>1</v>
      </c>
      <c r="F19" s="118">
        <f t="shared" si="0"/>
        <v>6300</v>
      </c>
    </row>
    <row r="20" spans="1:6" s="1" customFormat="1" ht="27.6" customHeight="1">
      <c r="A20" s="131" t="s">
        <v>79</v>
      </c>
      <c r="B20" s="191"/>
      <c r="C20" s="95" t="s">
        <v>88</v>
      </c>
      <c r="D20" s="116">
        <f>(120000*1.05)/30</f>
        <v>4200</v>
      </c>
      <c r="E20" s="117">
        <v>5</v>
      </c>
      <c r="F20" s="118">
        <f t="shared" si="0"/>
        <v>21000</v>
      </c>
    </row>
    <row r="21" spans="1:6" s="1" customFormat="1" ht="27.6" customHeight="1">
      <c r="A21" s="131" t="s">
        <v>80</v>
      </c>
      <c r="B21" s="192"/>
      <c r="C21" s="104" t="s">
        <v>90</v>
      </c>
      <c r="D21" s="119">
        <f>(15000*1.05)/30</f>
        <v>525</v>
      </c>
      <c r="E21" s="120">
        <v>10</v>
      </c>
      <c r="F21" s="121">
        <f t="shared" si="0"/>
        <v>5250</v>
      </c>
    </row>
    <row r="22" spans="1:6" s="1" customFormat="1" ht="27.6" customHeight="1">
      <c r="A22" s="131" t="s">
        <v>81</v>
      </c>
      <c r="B22" s="95" t="s">
        <v>92</v>
      </c>
      <c r="C22" s="95" t="s">
        <v>93</v>
      </c>
      <c r="D22" s="116">
        <f>(23000*1.05)/30</f>
        <v>805</v>
      </c>
      <c r="E22" s="117">
        <v>1</v>
      </c>
      <c r="F22" s="118">
        <f t="shared" si="0"/>
        <v>805</v>
      </c>
    </row>
    <row r="23" spans="1:6" s="1" customFormat="1" ht="27.6" customHeight="1">
      <c r="A23" s="131" t="s">
        <v>82</v>
      </c>
      <c r="B23" s="95" t="s">
        <v>203</v>
      </c>
      <c r="C23" s="95" t="s">
        <v>204</v>
      </c>
      <c r="D23" s="116">
        <v>1000</v>
      </c>
      <c r="E23" s="117">
        <v>5</v>
      </c>
      <c r="F23" s="118">
        <f t="shared" si="0"/>
        <v>5000</v>
      </c>
    </row>
    <row r="24" spans="1:6" s="1" customFormat="1" ht="27.6" customHeight="1">
      <c r="A24" s="131" t="s">
        <v>83</v>
      </c>
      <c r="B24" s="95" t="s">
        <v>94</v>
      </c>
      <c r="C24" s="95" t="s">
        <v>95</v>
      </c>
      <c r="D24" s="116">
        <f>(500*1.05)/30</f>
        <v>17.5</v>
      </c>
      <c r="E24" s="117">
        <v>8</v>
      </c>
      <c r="F24" s="118">
        <f t="shared" si="0"/>
        <v>140</v>
      </c>
    </row>
    <row r="25" spans="1:6" s="1" customFormat="1" ht="27.6" customHeight="1">
      <c r="A25" s="227"/>
      <c r="B25" s="228"/>
      <c r="C25" s="229"/>
      <c r="D25" s="211" t="s">
        <v>165</v>
      </c>
      <c r="E25" s="211"/>
      <c r="F25" s="133">
        <f>SUM(F15:F24)</f>
        <v>127448.33333333334</v>
      </c>
    </row>
    <row r="26" spans="1:6" s="1" customFormat="1" ht="27.6" customHeight="1">
      <c r="A26" s="212" t="s">
        <v>72</v>
      </c>
      <c r="B26" s="212"/>
      <c r="C26" s="212"/>
      <c r="D26" s="212"/>
      <c r="E26" s="212"/>
      <c r="F26" s="212"/>
    </row>
    <row r="27" spans="1:6" s="1" customFormat="1" ht="27.6" customHeight="1">
      <c r="A27" s="122" t="s">
        <v>46</v>
      </c>
      <c r="B27" s="123" t="s">
        <v>47</v>
      </c>
      <c r="C27" s="123" t="s">
        <v>48</v>
      </c>
      <c r="D27" s="124" t="s">
        <v>49</v>
      </c>
      <c r="E27" s="124" t="s">
        <v>50</v>
      </c>
      <c r="F27" s="124" t="s">
        <v>51</v>
      </c>
    </row>
    <row r="28" spans="1:6" s="1" customFormat="1" ht="27.6" customHeight="1">
      <c r="A28" s="134" t="s">
        <v>4</v>
      </c>
      <c r="B28" s="135" t="s">
        <v>59</v>
      </c>
      <c r="C28" s="136" t="s">
        <v>177</v>
      </c>
      <c r="D28" s="127">
        <f>220/30</f>
        <v>7.333333333333333</v>
      </c>
      <c r="E28" s="128">
        <v>1500</v>
      </c>
      <c r="F28" s="137">
        <f>SUM(D28*E28)</f>
        <v>11000</v>
      </c>
    </row>
    <row r="29" spans="1:6" s="1" customFormat="1" ht="27.6" customHeight="1">
      <c r="A29" s="134" t="s">
        <v>5</v>
      </c>
      <c r="B29" s="135" t="s">
        <v>60</v>
      </c>
      <c r="C29" s="136" t="s">
        <v>178</v>
      </c>
      <c r="D29" s="127">
        <f>260/30</f>
        <v>8.6666666666666661</v>
      </c>
      <c r="E29" s="128">
        <v>4800</v>
      </c>
      <c r="F29" s="137">
        <f t="shared" ref="F29:F31" si="1">SUM(D29*E29)</f>
        <v>41600</v>
      </c>
    </row>
    <row r="30" spans="1:6" s="1" customFormat="1" ht="38.25" customHeight="1">
      <c r="A30" s="134" t="s">
        <v>6</v>
      </c>
      <c r="B30" s="135" t="s">
        <v>61</v>
      </c>
      <c r="C30" s="136" t="s">
        <v>179</v>
      </c>
      <c r="D30" s="127">
        <f>285/30</f>
        <v>9.5</v>
      </c>
      <c r="E30" s="128">
        <v>6150</v>
      </c>
      <c r="F30" s="137">
        <f t="shared" si="1"/>
        <v>58425</v>
      </c>
    </row>
    <row r="31" spans="1:6" s="1" customFormat="1" ht="27.6" customHeight="1">
      <c r="A31" s="134" t="s">
        <v>7</v>
      </c>
      <c r="B31" s="135" t="s">
        <v>8</v>
      </c>
      <c r="C31" s="136" t="s">
        <v>66</v>
      </c>
      <c r="D31" s="127">
        <f>600/30</f>
        <v>20</v>
      </c>
      <c r="E31" s="128">
        <v>750</v>
      </c>
      <c r="F31" s="137">
        <f t="shared" si="1"/>
        <v>15000</v>
      </c>
    </row>
    <row r="32" spans="1:6" s="1" customFormat="1" ht="27.6" customHeight="1">
      <c r="A32" s="134" t="s">
        <v>9</v>
      </c>
      <c r="B32" s="135" t="s">
        <v>62</v>
      </c>
      <c r="C32" s="136" t="s">
        <v>67</v>
      </c>
      <c r="D32" s="127">
        <f>(23000*1.1)/30</f>
        <v>843.33333333333348</v>
      </c>
      <c r="E32" s="128">
        <v>60</v>
      </c>
      <c r="F32" s="137">
        <f>SUM(D32*E32)</f>
        <v>50600.000000000007</v>
      </c>
    </row>
    <row r="33" spans="1:13" s="1" customFormat="1" ht="27.6" customHeight="1">
      <c r="A33" s="219"/>
      <c r="B33" s="209"/>
      <c r="C33" s="221"/>
      <c r="D33" s="211" t="s">
        <v>165</v>
      </c>
      <c r="E33" s="211"/>
      <c r="F33" s="138">
        <f>SUM(F28:F32)</f>
        <v>176625</v>
      </c>
    </row>
    <row r="34" spans="1:13" s="1" customFormat="1" ht="27.6" customHeight="1">
      <c r="A34" s="222" t="s">
        <v>73</v>
      </c>
      <c r="B34" s="222"/>
      <c r="C34" s="222"/>
      <c r="D34" s="222"/>
      <c r="E34" s="222"/>
      <c r="F34" s="222"/>
    </row>
    <row r="35" spans="1:13" s="1" customFormat="1" ht="27.6" customHeight="1">
      <c r="A35" s="139" t="s">
        <v>46</v>
      </c>
      <c r="B35" s="140" t="s">
        <v>47</v>
      </c>
      <c r="C35" s="140" t="s">
        <v>48</v>
      </c>
      <c r="D35" s="124" t="s">
        <v>49</v>
      </c>
      <c r="E35" s="124" t="s">
        <v>50</v>
      </c>
      <c r="F35" s="124" t="s">
        <v>51</v>
      </c>
    </row>
    <row r="36" spans="1:13" ht="27.6" customHeight="1">
      <c r="A36" s="141" t="s">
        <v>74</v>
      </c>
      <c r="B36" s="95" t="s">
        <v>68</v>
      </c>
      <c r="C36" s="95"/>
      <c r="D36" s="101">
        <f>50000/30</f>
        <v>1666.6666666666667</v>
      </c>
      <c r="E36" s="102">
        <v>4</v>
      </c>
      <c r="F36" s="103">
        <f t="shared" ref="F36:F41" si="2">D36*E36</f>
        <v>6666.666666666667</v>
      </c>
    </row>
    <row r="37" spans="1:13" ht="47.25" customHeight="1">
      <c r="A37" s="141" t="s">
        <v>10</v>
      </c>
      <c r="B37" s="100" t="s">
        <v>195</v>
      </c>
      <c r="C37" s="95" t="s">
        <v>196</v>
      </c>
      <c r="D37" s="101">
        <f>(3000*1.05)/30</f>
        <v>105</v>
      </c>
      <c r="E37" s="102">
        <v>62</v>
      </c>
      <c r="F37" s="103">
        <f t="shared" si="2"/>
        <v>6510</v>
      </c>
    </row>
    <row r="38" spans="1:13" ht="36.4" customHeight="1">
      <c r="A38" s="141" t="s">
        <v>42</v>
      </c>
      <c r="B38" s="100" t="s">
        <v>197</v>
      </c>
      <c r="C38" s="95" t="s">
        <v>198</v>
      </c>
      <c r="D38" s="101">
        <f>(6200*1.15)/30</f>
        <v>237.66666666666663</v>
      </c>
      <c r="E38" s="102">
        <v>42</v>
      </c>
      <c r="F38" s="103">
        <f t="shared" si="2"/>
        <v>9981.9999999999982</v>
      </c>
    </row>
    <row r="39" spans="1:13" ht="36.4" customHeight="1">
      <c r="A39" s="141" t="s">
        <v>43</v>
      </c>
      <c r="B39" s="104" t="s">
        <v>199</v>
      </c>
      <c r="C39" s="104" t="s">
        <v>194</v>
      </c>
      <c r="D39" s="105">
        <v>700</v>
      </c>
      <c r="E39" s="106">
        <v>1</v>
      </c>
      <c r="F39" s="103">
        <f t="shared" si="2"/>
        <v>700</v>
      </c>
    </row>
    <row r="40" spans="1:13" ht="56.45" customHeight="1">
      <c r="A40" s="141" t="s">
        <v>11</v>
      </c>
      <c r="B40" s="95" t="s">
        <v>200</v>
      </c>
      <c r="C40" s="95" t="s">
        <v>216</v>
      </c>
      <c r="D40" s="107">
        <v>250</v>
      </c>
      <c r="E40" s="108">
        <v>28</v>
      </c>
      <c r="F40" s="103">
        <f t="shared" si="2"/>
        <v>7000</v>
      </c>
    </row>
    <row r="41" spans="1:13" ht="28.9" customHeight="1">
      <c r="A41" s="141" t="s">
        <v>201</v>
      </c>
      <c r="B41" s="95" t="s">
        <v>44</v>
      </c>
      <c r="C41" s="95" t="s">
        <v>52</v>
      </c>
      <c r="D41" s="96">
        <v>25000</v>
      </c>
      <c r="E41" s="97">
        <v>1</v>
      </c>
      <c r="F41" s="98">
        <f t="shared" si="2"/>
        <v>25000</v>
      </c>
    </row>
    <row r="42" spans="1:13" ht="27.6" customHeight="1">
      <c r="A42" s="208"/>
      <c r="B42" s="209"/>
      <c r="C42" s="210"/>
      <c r="D42" s="211" t="s">
        <v>165</v>
      </c>
      <c r="E42" s="211"/>
      <c r="F42" s="142">
        <f>SUM(F36:F41)</f>
        <v>55858.666666666664</v>
      </c>
    </row>
    <row r="43" spans="1:13" s="1" customFormat="1" ht="27.6" customHeight="1">
      <c r="A43" s="214" t="s">
        <v>96</v>
      </c>
      <c r="B43" s="215"/>
      <c r="C43" s="215"/>
      <c r="D43" s="215"/>
      <c r="E43" s="215"/>
      <c r="F43" s="216"/>
      <c r="H43" s="2"/>
      <c r="I43" s="2"/>
      <c r="J43" s="2"/>
      <c r="K43" s="2"/>
      <c r="L43" s="2"/>
      <c r="M43" s="2"/>
    </row>
    <row r="44" spans="1:13" s="1" customFormat="1" ht="27.6" customHeight="1">
      <c r="A44" s="122" t="s">
        <v>46</v>
      </c>
      <c r="B44" s="123" t="s">
        <v>47</v>
      </c>
      <c r="C44" s="123" t="s">
        <v>48</v>
      </c>
      <c r="D44" s="124" t="s">
        <v>49</v>
      </c>
      <c r="E44" s="124" t="s">
        <v>50</v>
      </c>
      <c r="F44" s="124" t="s">
        <v>51</v>
      </c>
      <c r="H44" s="2"/>
      <c r="I44" s="2"/>
      <c r="J44" s="2"/>
      <c r="K44" s="2"/>
      <c r="L44" s="2"/>
      <c r="M44" s="2"/>
    </row>
    <row r="45" spans="1:13" s="1" customFormat="1" ht="27.6" customHeight="1">
      <c r="A45" s="125" t="s">
        <v>144</v>
      </c>
      <c r="B45" s="99" t="s">
        <v>98</v>
      </c>
      <c r="C45" s="99"/>
      <c r="D45" s="109">
        <f>(150000*1.05)/30</f>
        <v>5250</v>
      </c>
      <c r="E45" s="110">
        <v>1</v>
      </c>
      <c r="F45" s="111">
        <f>D45*E45</f>
        <v>5250</v>
      </c>
      <c r="H45" s="2"/>
      <c r="I45" s="2"/>
      <c r="J45" s="2"/>
      <c r="K45" s="2"/>
      <c r="L45" s="2"/>
      <c r="M45" s="2"/>
    </row>
    <row r="46" spans="1:13" s="1" customFormat="1" ht="27.6" customHeight="1">
      <c r="A46" s="125" t="s">
        <v>145</v>
      </c>
      <c r="B46" s="99" t="s">
        <v>97</v>
      </c>
      <c r="C46" s="99"/>
      <c r="D46" s="109">
        <f>(45000*1.05)/30</f>
        <v>1575</v>
      </c>
      <c r="E46" s="110">
        <v>1</v>
      </c>
      <c r="F46" s="111">
        <f t="shared" ref="F46:F64" si="3">E46*D46</f>
        <v>1575</v>
      </c>
      <c r="H46" s="2"/>
      <c r="I46" s="2"/>
      <c r="J46" s="2"/>
      <c r="K46" s="2"/>
      <c r="L46" s="2"/>
      <c r="M46" s="2"/>
    </row>
    <row r="47" spans="1:13" s="1" customFormat="1" ht="27.6" customHeight="1">
      <c r="A47" s="125" t="s">
        <v>12</v>
      </c>
      <c r="B47" s="99" t="s">
        <v>99</v>
      </c>
      <c r="C47" s="99"/>
      <c r="D47" s="109">
        <f>(40000*1.05)/30</f>
        <v>1400</v>
      </c>
      <c r="E47" s="110">
        <v>1</v>
      </c>
      <c r="F47" s="111">
        <f t="shared" si="3"/>
        <v>1400</v>
      </c>
      <c r="H47" s="2"/>
      <c r="I47" s="2"/>
      <c r="J47" s="2"/>
      <c r="K47" s="2"/>
      <c r="L47" s="2"/>
      <c r="M47" s="2"/>
    </row>
    <row r="48" spans="1:13" s="1" customFormat="1" ht="27.6" customHeight="1">
      <c r="A48" s="125" t="s">
        <v>13</v>
      </c>
      <c r="B48" s="99" t="s">
        <v>100</v>
      </c>
      <c r="C48" s="99"/>
      <c r="D48" s="109">
        <f>(10000*1.05)/30</f>
        <v>350</v>
      </c>
      <c r="E48" s="110">
        <v>8</v>
      </c>
      <c r="F48" s="111">
        <f t="shared" si="3"/>
        <v>2800</v>
      </c>
      <c r="H48" s="2"/>
      <c r="I48" s="2"/>
      <c r="J48" s="2"/>
      <c r="K48" s="2"/>
      <c r="L48" s="2"/>
      <c r="M48" s="2"/>
    </row>
    <row r="49" spans="1:13" s="1" customFormat="1" ht="27.6" customHeight="1">
      <c r="A49" s="125" t="s">
        <v>14</v>
      </c>
      <c r="B49" s="99" t="s">
        <v>101</v>
      </c>
      <c r="C49" s="99"/>
      <c r="D49" s="109">
        <f>15000/30</f>
        <v>500</v>
      </c>
      <c r="E49" s="110">
        <v>8</v>
      </c>
      <c r="F49" s="111">
        <f t="shared" si="3"/>
        <v>4000</v>
      </c>
      <c r="H49" s="2"/>
      <c r="I49" s="2"/>
      <c r="J49" s="2"/>
      <c r="K49" s="2"/>
      <c r="L49" s="2"/>
      <c r="M49" s="2"/>
    </row>
    <row r="50" spans="1:13" s="1" customFormat="1" ht="27.6" customHeight="1">
      <c r="A50" s="125" t="s">
        <v>15</v>
      </c>
      <c r="B50" s="99" t="s">
        <v>102</v>
      </c>
      <c r="C50" s="99"/>
      <c r="D50" s="109">
        <f>(30000*1.05)/30</f>
        <v>1050</v>
      </c>
      <c r="E50" s="110">
        <v>1</v>
      </c>
      <c r="F50" s="111">
        <f t="shared" si="3"/>
        <v>1050</v>
      </c>
      <c r="H50" s="2"/>
      <c r="I50" s="2"/>
      <c r="J50" s="2"/>
      <c r="K50" s="2"/>
      <c r="L50" s="2"/>
      <c r="M50" s="2"/>
    </row>
    <row r="51" spans="1:13" s="1" customFormat="1" ht="46.9" customHeight="1">
      <c r="A51" s="125" t="s">
        <v>16</v>
      </c>
      <c r="B51" s="99" t="s">
        <v>103</v>
      </c>
      <c r="C51" s="99" t="s">
        <v>104</v>
      </c>
      <c r="D51" s="109">
        <f>(120000*1.05)/30</f>
        <v>4200</v>
      </c>
      <c r="E51" s="110">
        <v>1</v>
      </c>
      <c r="F51" s="111">
        <f t="shared" si="3"/>
        <v>4200</v>
      </c>
      <c r="H51" s="2"/>
      <c r="I51" s="2"/>
      <c r="J51" s="2"/>
      <c r="K51" s="2"/>
      <c r="L51" s="2"/>
      <c r="M51" s="2"/>
    </row>
    <row r="52" spans="1:13" s="1" customFormat="1" ht="27.6" customHeight="1">
      <c r="A52" s="125" t="s">
        <v>17</v>
      </c>
      <c r="B52" s="99" t="s">
        <v>105</v>
      </c>
      <c r="C52" s="99"/>
      <c r="D52" s="109">
        <f>(2500*1.05)/30</f>
        <v>87.5</v>
      </c>
      <c r="E52" s="110">
        <v>4</v>
      </c>
      <c r="F52" s="111">
        <f t="shared" si="3"/>
        <v>350</v>
      </c>
      <c r="H52" s="2"/>
      <c r="I52" s="2"/>
      <c r="J52" s="2"/>
      <c r="K52" s="2"/>
      <c r="L52" s="2"/>
      <c r="M52" s="2"/>
    </row>
    <row r="53" spans="1:13" s="1" customFormat="1" ht="27.6" customHeight="1">
      <c r="A53" s="125" t="s">
        <v>18</v>
      </c>
      <c r="B53" s="99" t="s">
        <v>106</v>
      </c>
      <c r="C53" s="99"/>
      <c r="D53" s="109">
        <f>(15000*1.05)/30</f>
        <v>525</v>
      </c>
      <c r="E53" s="110">
        <v>3</v>
      </c>
      <c r="F53" s="111">
        <f t="shared" si="3"/>
        <v>1575</v>
      </c>
      <c r="H53" s="2"/>
      <c r="I53" s="2"/>
      <c r="J53" s="2"/>
      <c r="K53" s="2"/>
      <c r="L53" s="2"/>
      <c r="M53" s="2"/>
    </row>
    <row r="54" spans="1:13" s="1" customFormat="1" ht="27.6" customHeight="1">
      <c r="A54" s="125" t="s">
        <v>146</v>
      </c>
      <c r="B54" s="99" t="s">
        <v>107</v>
      </c>
      <c r="C54" s="99"/>
      <c r="D54" s="109">
        <f>(1000*1.05)/30</f>
        <v>35</v>
      </c>
      <c r="E54" s="110">
        <v>20</v>
      </c>
      <c r="F54" s="111">
        <f t="shared" si="3"/>
        <v>700</v>
      </c>
      <c r="H54" s="2"/>
      <c r="I54" s="2"/>
      <c r="J54" s="2"/>
      <c r="K54" s="2"/>
      <c r="L54" s="2"/>
      <c r="M54" s="2"/>
    </row>
    <row r="55" spans="1:13" s="1" customFormat="1" ht="27.6" customHeight="1">
      <c r="A55" s="125" t="s">
        <v>147</v>
      </c>
      <c r="B55" s="112" t="s">
        <v>108</v>
      </c>
      <c r="C55" s="112"/>
      <c r="D55" s="113">
        <f>(2000*1.05)/30</f>
        <v>70</v>
      </c>
      <c r="E55" s="114">
        <v>20</v>
      </c>
      <c r="F55" s="115">
        <f t="shared" si="3"/>
        <v>1400</v>
      </c>
      <c r="H55" s="2"/>
      <c r="I55" s="2"/>
      <c r="J55" s="2"/>
      <c r="K55" s="2"/>
      <c r="L55" s="2"/>
      <c r="M55" s="2"/>
    </row>
    <row r="56" spans="1:13" s="1" customFormat="1" ht="27.6" customHeight="1">
      <c r="A56" s="125" t="s">
        <v>148</v>
      </c>
      <c r="B56" s="191" t="s">
        <v>211</v>
      </c>
      <c r="C56" s="143" t="s">
        <v>109</v>
      </c>
      <c r="D56" s="113">
        <f>30000/30</f>
        <v>1000</v>
      </c>
      <c r="E56" s="117">
        <v>1</v>
      </c>
      <c r="F56" s="118">
        <f t="shared" si="3"/>
        <v>1000</v>
      </c>
      <c r="H56" s="2"/>
      <c r="I56" s="2"/>
      <c r="J56" s="2"/>
      <c r="K56" s="2"/>
      <c r="L56" s="2"/>
      <c r="M56" s="2"/>
    </row>
    <row r="57" spans="1:13" s="1" customFormat="1" ht="27.6" customHeight="1">
      <c r="A57" s="125" t="s">
        <v>149</v>
      </c>
      <c r="B57" s="191"/>
      <c r="C57" s="95" t="s">
        <v>110</v>
      </c>
      <c r="D57" s="116">
        <f>(100000*1.05)/30</f>
        <v>3500</v>
      </c>
      <c r="E57" s="117">
        <v>1</v>
      </c>
      <c r="F57" s="118">
        <f>E57*D57</f>
        <v>3500</v>
      </c>
      <c r="H57" s="2"/>
      <c r="I57" s="2"/>
      <c r="J57" s="2"/>
      <c r="K57" s="2"/>
      <c r="L57" s="2"/>
      <c r="M57" s="2"/>
    </row>
    <row r="58" spans="1:13" ht="31.7" customHeight="1">
      <c r="A58" s="125" t="s">
        <v>150</v>
      </c>
      <c r="B58" s="217" t="s">
        <v>111</v>
      </c>
      <c r="C58" s="144" t="s">
        <v>180</v>
      </c>
      <c r="D58" s="145">
        <f>(800*1.05)/30</f>
        <v>28</v>
      </c>
      <c r="E58" s="146">
        <v>250</v>
      </c>
      <c r="F58" s="147">
        <f t="shared" si="3"/>
        <v>7000</v>
      </c>
    </row>
    <row r="59" spans="1:13" ht="27.6" customHeight="1">
      <c r="A59" s="125" t="s">
        <v>151</v>
      </c>
      <c r="B59" s="218"/>
      <c r="C59" s="99" t="s">
        <v>113</v>
      </c>
      <c r="D59" s="109">
        <f>(60*1.05)/30</f>
        <v>2.1</v>
      </c>
      <c r="E59" s="110">
        <v>250</v>
      </c>
      <c r="F59" s="111">
        <f t="shared" si="3"/>
        <v>525</v>
      </c>
      <c r="G59" s="67"/>
    </row>
    <row r="60" spans="1:13">
      <c r="A60" s="125" t="s">
        <v>152</v>
      </c>
      <c r="B60" s="218"/>
      <c r="C60" s="99" t="s">
        <v>114</v>
      </c>
      <c r="D60" s="109">
        <f>(500*1.05)/30</f>
        <v>17.5</v>
      </c>
      <c r="E60" s="110">
        <v>250</v>
      </c>
      <c r="F60" s="111">
        <f t="shared" si="3"/>
        <v>4375</v>
      </c>
    </row>
    <row r="61" spans="1:13" ht="31.15" customHeight="1">
      <c r="A61" s="125" t="s">
        <v>153</v>
      </c>
      <c r="B61" s="99" t="s">
        <v>115</v>
      </c>
      <c r="C61" s="99" t="s">
        <v>116</v>
      </c>
      <c r="D61" s="109">
        <f>(7000*1.05)/30</f>
        <v>245</v>
      </c>
      <c r="E61" s="110">
        <v>20</v>
      </c>
      <c r="F61" s="111">
        <f t="shared" si="3"/>
        <v>4900</v>
      </c>
    </row>
    <row r="62" spans="1:13" ht="31.15" customHeight="1">
      <c r="A62" s="125" t="s">
        <v>154</v>
      </c>
      <c r="B62" s="99" t="s">
        <v>117</v>
      </c>
      <c r="C62" s="99"/>
      <c r="D62" s="109">
        <f>(30000*1.05)/30</f>
        <v>1050</v>
      </c>
      <c r="E62" s="110">
        <v>1</v>
      </c>
      <c r="F62" s="111">
        <f t="shared" si="3"/>
        <v>1050</v>
      </c>
    </row>
    <row r="63" spans="1:13" ht="27.6" customHeight="1">
      <c r="A63" s="125" t="s">
        <v>155</v>
      </c>
      <c r="B63" s="99" t="s">
        <v>118</v>
      </c>
      <c r="C63" s="99"/>
      <c r="D63" s="109">
        <f>(40000*1.05)/30</f>
        <v>1400</v>
      </c>
      <c r="E63" s="110">
        <v>1</v>
      </c>
      <c r="F63" s="111">
        <f t="shared" si="3"/>
        <v>1400</v>
      </c>
    </row>
    <row r="64" spans="1:13" ht="27.6" customHeight="1">
      <c r="A64" s="125" t="s">
        <v>156</v>
      </c>
      <c r="B64" s="99" t="s">
        <v>119</v>
      </c>
      <c r="C64" s="99"/>
      <c r="D64" s="127">
        <f>(50000*1.05)/30</f>
        <v>1750</v>
      </c>
      <c r="E64" s="128">
        <v>1</v>
      </c>
      <c r="F64" s="137">
        <f t="shared" si="3"/>
        <v>1750</v>
      </c>
    </row>
    <row r="65" spans="1:13" ht="27.6" customHeight="1">
      <c r="A65" s="219"/>
      <c r="B65" s="220"/>
      <c r="C65" s="221"/>
      <c r="D65" s="211" t="s">
        <v>165</v>
      </c>
      <c r="E65" s="211"/>
      <c r="F65" s="148">
        <f>SUM(F45:F64)</f>
        <v>49800</v>
      </c>
    </row>
    <row r="66" spans="1:13" ht="27.6" customHeight="1">
      <c r="A66" s="212" t="s">
        <v>173</v>
      </c>
      <c r="B66" s="212"/>
      <c r="C66" s="212"/>
      <c r="D66" s="212"/>
      <c r="E66" s="212"/>
      <c r="F66" s="212"/>
    </row>
    <row r="67" spans="1:13" ht="27.6" customHeight="1">
      <c r="A67" s="122" t="s">
        <v>46</v>
      </c>
      <c r="B67" s="123" t="s">
        <v>47</v>
      </c>
      <c r="C67" s="123" t="s">
        <v>48</v>
      </c>
      <c r="D67" s="124" t="s">
        <v>49</v>
      </c>
      <c r="E67" s="124" t="s">
        <v>50</v>
      </c>
      <c r="F67" s="124" t="s">
        <v>51</v>
      </c>
    </row>
    <row r="68" spans="1:13">
      <c r="A68" s="149" t="s">
        <v>19</v>
      </c>
      <c r="B68" s="99" t="s">
        <v>120</v>
      </c>
      <c r="C68" s="99" t="s">
        <v>121</v>
      </c>
      <c r="D68" s="109">
        <f>70/30</f>
        <v>2.3333333333333335</v>
      </c>
      <c r="E68" s="110">
        <v>1500</v>
      </c>
      <c r="F68" s="111">
        <f t="shared" ref="F68:F73" si="4">D68*E68</f>
        <v>3500</v>
      </c>
    </row>
    <row r="69" spans="1:13" ht="27.6" customHeight="1">
      <c r="A69" s="149" t="s">
        <v>158</v>
      </c>
      <c r="B69" s="99" t="s">
        <v>122</v>
      </c>
      <c r="C69" s="99" t="s">
        <v>209</v>
      </c>
      <c r="D69" s="109">
        <f>150/30</f>
        <v>5</v>
      </c>
      <c r="E69" s="110">
        <v>1500</v>
      </c>
      <c r="F69" s="111">
        <f t="shared" si="4"/>
        <v>7500</v>
      </c>
    </row>
    <row r="70" spans="1:13" ht="39.200000000000003" customHeight="1">
      <c r="A70" s="149" t="s">
        <v>20</v>
      </c>
      <c r="B70" s="99" t="s">
        <v>207</v>
      </c>
      <c r="C70" s="99" t="s">
        <v>208</v>
      </c>
      <c r="D70" s="109">
        <v>12</v>
      </c>
      <c r="E70" s="110">
        <v>1500</v>
      </c>
      <c r="F70" s="111">
        <f t="shared" si="4"/>
        <v>18000</v>
      </c>
    </row>
    <row r="71" spans="1:13" ht="27.6" customHeight="1">
      <c r="A71" s="149" t="s">
        <v>21</v>
      </c>
      <c r="B71" s="99" t="s">
        <v>123</v>
      </c>
      <c r="C71" s="99" t="s">
        <v>124</v>
      </c>
      <c r="D71" s="109">
        <f>53/30</f>
        <v>1.7666666666666666</v>
      </c>
      <c r="E71" s="110">
        <v>100</v>
      </c>
      <c r="F71" s="111">
        <f t="shared" si="4"/>
        <v>176.66666666666666</v>
      </c>
    </row>
    <row r="72" spans="1:13" s="1" customFormat="1" ht="27.6" customHeight="1">
      <c r="A72" s="149" t="s">
        <v>22</v>
      </c>
      <c r="B72" s="150" t="s">
        <v>125</v>
      </c>
      <c r="C72" s="150"/>
      <c r="D72" s="127">
        <f>(20*1.05)/30</f>
        <v>0.7</v>
      </c>
      <c r="E72" s="128">
        <v>500</v>
      </c>
      <c r="F72" s="137">
        <f t="shared" si="4"/>
        <v>350</v>
      </c>
      <c r="H72" s="2"/>
      <c r="I72" s="2"/>
      <c r="J72" s="2"/>
      <c r="K72" s="2"/>
      <c r="L72" s="2"/>
      <c r="M72" s="2"/>
    </row>
    <row r="73" spans="1:13" s="1" customFormat="1" ht="27.6" customHeight="1">
      <c r="A73" s="149" t="s">
        <v>210</v>
      </c>
      <c r="B73" s="150" t="s">
        <v>126</v>
      </c>
      <c r="C73" s="150"/>
      <c r="D73" s="127">
        <f>(100*1.05)/30</f>
        <v>3.5</v>
      </c>
      <c r="E73" s="128">
        <v>300</v>
      </c>
      <c r="F73" s="137">
        <f t="shared" si="4"/>
        <v>1050</v>
      </c>
      <c r="H73" s="2"/>
      <c r="I73" s="2"/>
      <c r="J73" s="2"/>
      <c r="K73" s="2"/>
      <c r="L73" s="2"/>
      <c r="M73" s="2"/>
    </row>
    <row r="74" spans="1:13" s="1" customFormat="1" ht="27.6" customHeight="1">
      <c r="A74" s="213"/>
      <c r="B74" s="213"/>
      <c r="C74" s="213"/>
      <c r="D74" s="211" t="s">
        <v>165</v>
      </c>
      <c r="E74" s="211"/>
      <c r="F74" s="148">
        <f>SUM(F68:F73)</f>
        <v>30576.666666666668</v>
      </c>
      <c r="H74" s="2"/>
      <c r="I74" s="2"/>
      <c r="J74" s="2"/>
      <c r="K74" s="2"/>
      <c r="L74" s="2"/>
      <c r="M74" s="2"/>
    </row>
    <row r="75" spans="1:13" s="1" customFormat="1" ht="27.6" customHeight="1">
      <c r="A75" s="214" t="s">
        <v>159</v>
      </c>
      <c r="B75" s="215"/>
      <c r="C75" s="215"/>
      <c r="D75" s="215"/>
      <c r="E75" s="215"/>
      <c r="F75" s="216"/>
      <c r="H75" s="2"/>
      <c r="I75" s="2"/>
      <c r="J75" s="2"/>
      <c r="K75" s="2"/>
      <c r="L75" s="2"/>
      <c r="M75" s="2"/>
    </row>
    <row r="76" spans="1:13" s="1" customFormat="1" ht="27.6" customHeight="1">
      <c r="A76" s="122" t="s">
        <v>46</v>
      </c>
      <c r="B76" s="123" t="s">
        <v>47</v>
      </c>
      <c r="C76" s="123" t="s">
        <v>48</v>
      </c>
      <c r="D76" s="124" t="s">
        <v>49</v>
      </c>
      <c r="E76" s="124" t="s">
        <v>50</v>
      </c>
      <c r="F76" s="124" t="s">
        <v>51</v>
      </c>
      <c r="H76" s="2"/>
      <c r="I76" s="2"/>
      <c r="J76" s="2"/>
      <c r="K76" s="2"/>
      <c r="L76" s="2"/>
      <c r="M76" s="2"/>
    </row>
    <row r="77" spans="1:13" s="1" customFormat="1">
      <c r="A77" s="125" t="s">
        <v>160</v>
      </c>
      <c r="B77" s="112" t="s">
        <v>128</v>
      </c>
      <c r="C77" s="99" t="s">
        <v>205</v>
      </c>
      <c r="D77" s="127">
        <f>(25000*1.05)/30</f>
        <v>875</v>
      </c>
      <c r="E77" s="128">
        <v>32</v>
      </c>
      <c r="F77" s="137">
        <f>E77*D77</f>
        <v>28000</v>
      </c>
      <c r="H77" s="2"/>
      <c r="I77" s="2"/>
      <c r="J77" s="2"/>
      <c r="K77" s="2"/>
      <c r="L77" s="2"/>
      <c r="M77" s="2"/>
    </row>
    <row r="78" spans="1:13" s="1" customFormat="1" ht="27.6" customHeight="1">
      <c r="A78" s="125" t="s">
        <v>127</v>
      </c>
      <c r="B78" s="99" t="s">
        <v>129</v>
      </c>
      <c r="C78" s="99" t="s">
        <v>214</v>
      </c>
      <c r="D78" s="109">
        <f>(15000*1.05)/30</f>
        <v>525</v>
      </c>
      <c r="E78" s="110">
        <v>10</v>
      </c>
      <c r="F78" s="111">
        <f>+E78*D78</f>
        <v>5250</v>
      </c>
      <c r="H78" s="2"/>
      <c r="I78" s="2"/>
      <c r="J78" s="2"/>
      <c r="K78" s="2"/>
      <c r="L78" s="2"/>
      <c r="M78" s="2"/>
    </row>
    <row r="79" spans="1:13" s="1" customFormat="1" ht="27.6" customHeight="1">
      <c r="A79" s="125" t="s">
        <v>23</v>
      </c>
      <c r="B79" s="151" t="s">
        <v>131</v>
      </c>
      <c r="C79" s="99" t="s">
        <v>26</v>
      </c>
      <c r="D79" s="109">
        <v>2800</v>
      </c>
      <c r="E79" s="110">
        <v>2</v>
      </c>
      <c r="F79" s="111">
        <f>D79*E79</f>
        <v>5600</v>
      </c>
      <c r="H79" s="2"/>
      <c r="I79" s="2"/>
      <c r="J79" s="2"/>
      <c r="K79" s="2"/>
      <c r="L79" s="2"/>
      <c r="M79" s="2"/>
    </row>
    <row r="80" spans="1:13" s="1" customFormat="1" ht="27.6" customHeight="1">
      <c r="A80" s="125" t="s">
        <v>24</v>
      </c>
      <c r="B80" s="151" t="s">
        <v>132</v>
      </c>
      <c r="C80" s="99" t="s">
        <v>26</v>
      </c>
      <c r="D80" s="109">
        <f>(45000*1.05)/30</f>
        <v>1575</v>
      </c>
      <c r="E80" s="110">
        <v>2</v>
      </c>
      <c r="F80" s="111">
        <f>D80*E80</f>
        <v>3150</v>
      </c>
      <c r="H80" s="2"/>
      <c r="I80" s="2"/>
      <c r="J80" s="2"/>
      <c r="K80" s="2"/>
      <c r="L80" s="2"/>
      <c r="M80" s="2"/>
    </row>
    <row r="81" spans="1:13" s="1" customFormat="1" ht="27.6" customHeight="1">
      <c r="A81" s="219"/>
      <c r="B81" s="220"/>
      <c r="C81" s="221"/>
      <c r="D81" s="211" t="s">
        <v>165</v>
      </c>
      <c r="E81" s="211"/>
      <c r="F81" s="148">
        <f>SUM(F77:F80)</f>
        <v>42000</v>
      </c>
      <c r="H81" s="2"/>
      <c r="I81" s="2"/>
      <c r="J81" s="2"/>
      <c r="K81" s="2"/>
      <c r="L81" s="2"/>
      <c r="M81" s="2"/>
    </row>
    <row r="82" spans="1:13" s="1" customFormat="1" ht="27.6" customHeight="1">
      <c r="A82" s="212" t="s">
        <v>161</v>
      </c>
      <c r="B82" s="212"/>
      <c r="C82" s="212"/>
      <c r="D82" s="212"/>
      <c r="E82" s="212"/>
      <c r="F82" s="212"/>
      <c r="H82" s="2"/>
      <c r="I82" s="2"/>
      <c r="J82" s="2"/>
      <c r="K82" s="2"/>
      <c r="L82" s="2"/>
      <c r="M82" s="2"/>
    </row>
    <row r="83" spans="1:13" s="1" customFormat="1" ht="27.6" customHeight="1">
      <c r="A83" s="139" t="s">
        <v>46</v>
      </c>
      <c r="B83" s="140" t="s">
        <v>47</v>
      </c>
      <c r="C83" s="140" t="s">
        <v>48</v>
      </c>
      <c r="D83" s="124" t="s">
        <v>49</v>
      </c>
      <c r="E83" s="124" t="s">
        <v>50</v>
      </c>
      <c r="F83" s="124" t="s">
        <v>51</v>
      </c>
      <c r="H83" s="2"/>
      <c r="I83" s="2"/>
      <c r="J83" s="2"/>
      <c r="K83" s="2"/>
      <c r="L83" s="2"/>
      <c r="M83" s="2"/>
    </row>
    <row r="84" spans="1:13" s="1" customFormat="1" ht="27.6" customHeight="1">
      <c r="A84" s="131" t="s">
        <v>25</v>
      </c>
      <c r="B84" s="95" t="s">
        <v>133</v>
      </c>
      <c r="C84" s="95" t="s">
        <v>134</v>
      </c>
      <c r="D84" s="152">
        <f>24000/30</f>
        <v>800</v>
      </c>
      <c r="E84" s="117">
        <v>1</v>
      </c>
      <c r="F84" s="118">
        <f>+E84*D84</f>
        <v>800</v>
      </c>
      <c r="H84" s="2"/>
      <c r="I84" s="2"/>
      <c r="J84" s="2"/>
      <c r="K84" s="2"/>
      <c r="L84" s="2"/>
      <c r="M84" s="2"/>
    </row>
    <row r="85" spans="1:13" ht="38.25" customHeight="1">
      <c r="A85" s="131" t="s">
        <v>162</v>
      </c>
      <c r="B85" s="95" t="s">
        <v>69</v>
      </c>
      <c r="C85" s="95"/>
      <c r="D85" s="96">
        <f>(D5*0.03)</f>
        <v>19628.7</v>
      </c>
      <c r="E85" s="97">
        <v>1</v>
      </c>
      <c r="F85" s="98">
        <f>D85*E85</f>
        <v>19628.7</v>
      </c>
    </row>
    <row r="86" spans="1:13" s="1" customFormat="1" ht="27.6" customHeight="1">
      <c r="A86" s="131" t="s">
        <v>163</v>
      </c>
      <c r="B86" s="95" t="s">
        <v>136</v>
      </c>
      <c r="C86" s="95"/>
      <c r="D86" s="153">
        <f>(700000*1.05)/30</f>
        <v>24500</v>
      </c>
      <c r="E86" s="125">
        <v>1</v>
      </c>
      <c r="F86" s="111">
        <f>D86*E86</f>
        <v>24500</v>
      </c>
      <c r="H86" s="2"/>
      <c r="I86" s="2"/>
      <c r="J86" s="2"/>
      <c r="K86" s="2"/>
      <c r="L86" s="2"/>
      <c r="M86" s="2"/>
    </row>
    <row r="87" spans="1:13" s="1" customFormat="1">
      <c r="A87" s="131" t="s">
        <v>215</v>
      </c>
      <c r="B87" s="95" t="s">
        <v>135</v>
      </c>
      <c r="C87" s="95"/>
      <c r="D87" s="152">
        <f>111000/30</f>
        <v>3700</v>
      </c>
      <c r="E87" s="117">
        <v>1</v>
      </c>
      <c r="F87" s="118">
        <f>+E87*D87</f>
        <v>3700</v>
      </c>
      <c r="H87" s="2"/>
      <c r="I87" s="2"/>
      <c r="J87" s="2"/>
      <c r="K87" s="2"/>
      <c r="L87" s="2"/>
      <c r="M87" s="2"/>
    </row>
    <row r="88" spans="1:13" ht="27.6" customHeight="1">
      <c r="A88" s="208"/>
      <c r="B88" s="209"/>
      <c r="C88" s="210"/>
      <c r="D88" s="211" t="s">
        <v>165</v>
      </c>
      <c r="E88" s="211"/>
      <c r="F88" s="154">
        <f>SUM(F84:F87)</f>
        <v>48628.7</v>
      </c>
    </row>
    <row r="89" spans="1:13" ht="27.6" customHeight="1">
      <c r="A89" s="212" t="s">
        <v>164</v>
      </c>
      <c r="B89" s="212"/>
      <c r="C89" s="212"/>
      <c r="D89" s="212"/>
      <c r="E89" s="212"/>
      <c r="F89" s="212"/>
    </row>
    <row r="90" spans="1:13" ht="27.6" customHeight="1">
      <c r="A90" s="122" t="s">
        <v>46</v>
      </c>
      <c r="B90" s="123" t="s">
        <v>47</v>
      </c>
      <c r="C90" s="123" t="s">
        <v>48</v>
      </c>
      <c r="D90" s="124" t="s">
        <v>49</v>
      </c>
      <c r="E90" s="124" t="s">
        <v>50</v>
      </c>
      <c r="F90" s="124" t="s">
        <v>51</v>
      </c>
    </row>
    <row r="91" spans="1:13">
      <c r="A91" s="125" t="s">
        <v>27</v>
      </c>
      <c r="B91" s="99" t="s">
        <v>138</v>
      </c>
      <c r="C91" s="99" t="s">
        <v>139</v>
      </c>
      <c r="D91" s="109">
        <f>(200000*1.05)/30</f>
        <v>7000</v>
      </c>
      <c r="E91" s="110">
        <v>1</v>
      </c>
      <c r="F91" s="111">
        <f>D91*E91</f>
        <v>7000</v>
      </c>
    </row>
    <row r="92" spans="1:13" ht="46.9" customHeight="1">
      <c r="A92" s="125" t="s">
        <v>28</v>
      </c>
      <c r="B92" s="99" t="s">
        <v>140</v>
      </c>
      <c r="C92" s="99" t="s">
        <v>141</v>
      </c>
      <c r="D92" s="109">
        <f>(150000*1.05)/30</f>
        <v>5250</v>
      </c>
      <c r="E92" s="110">
        <v>1</v>
      </c>
      <c r="F92" s="111">
        <f>D92*E92</f>
        <v>5250</v>
      </c>
    </row>
    <row r="93" spans="1:13" ht="27.6" customHeight="1">
      <c r="A93" s="125" t="s">
        <v>137</v>
      </c>
      <c r="B93" s="99" t="s">
        <v>142</v>
      </c>
      <c r="C93" s="99" t="s">
        <v>143</v>
      </c>
      <c r="D93" s="109">
        <f>15000/30</f>
        <v>500</v>
      </c>
      <c r="E93" s="110">
        <v>2</v>
      </c>
      <c r="F93" s="111">
        <f>D93*E93</f>
        <v>1000</v>
      </c>
    </row>
    <row r="94" spans="1:13" ht="27.6" customHeight="1">
      <c r="A94" s="213"/>
      <c r="B94" s="213"/>
      <c r="C94" s="213"/>
      <c r="D94" s="211" t="s">
        <v>165</v>
      </c>
      <c r="E94" s="211"/>
      <c r="F94" s="148">
        <f>SUM(F91:F93)</f>
        <v>13250</v>
      </c>
    </row>
    <row r="95" spans="1:13" ht="27.6" customHeight="1">
      <c r="A95" s="177"/>
      <c r="B95" s="178"/>
      <c r="C95" s="178"/>
      <c r="D95" s="178"/>
      <c r="E95" s="178"/>
      <c r="F95" s="179"/>
      <c r="G95" s="8"/>
    </row>
    <row r="96" spans="1:13" ht="27.6" customHeight="1">
      <c r="A96" s="180" t="s">
        <v>167</v>
      </c>
      <c r="B96" s="180"/>
      <c r="C96" s="180"/>
      <c r="D96" s="181">
        <f>F94+F88+F81+F74+F65+F42+F33+F25+F12</f>
        <v>660854.03333333333</v>
      </c>
      <c r="E96" s="181"/>
      <c r="F96" s="181"/>
      <c r="G96" s="8"/>
    </row>
    <row r="97" spans="1:7" ht="27.6" customHeight="1">
      <c r="A97" s="172" t="s">
        <v>168</v>
      </c>
      <c r="B97" s="172"/>
      <c r="C97" s="172"/>
      <c r="D97" s="173">
        <f>F6-D96</f>
        <v>354149.96666666667</v>
      </c>
      <c r="E97" s="173"/>
      <c r="F97" s="173"/>
      <c r="G97" s="8"/>
    </row>
    <row r="100" spans="1:7" ht="27.6" customHeight="1">
      <c r="G100" s="8"/>
    </row>
    <row r="102" spans="1:7" ht="27.6" customHeight="1">
      <c r="G102" s="8"/>
    </row>
    <row r="103" spans="1:7" ht="27.6" customHeight="1">
      <c r="G103" s="8"/>
    </row>
    <row r="104" spans="1:7" ht="27.6" customHeight="1">
      <c r="G104" s="9"/>
    </row>
  </sheetData>
  <mergeCells count="41">
    <mergeCell ref="A8:F8"/>
    <mergeCell ref="A1:F1"/>
    <mergeCell ref="A2:F2"/>
    <mergeCell ref="A6:C6"/>
    <mergeCell ref="D6:E6"/>
    <mergeCell ref="A7:F7"/>
    <mergeCell ref="A42:C42"/>
    <mergeCell ref="D42:E42"/>
    <mergeCell ref="A9:F9"/>
    <mergeCell ref="A12:C12"/>
    <mergeCell ref="D12:E12"/>
    <mergeCell ref="A13:F13"/>
    <mergeCell ref="B19:B21"/>
    <mergeCell ref="A25:C25"/>
    <mergeCell ref="D25:E25"/>
    <mergeCell ref="A26:F26"/>
    <mergeCell ref="A33:C33"/>
    <mergeCell ref="D33:E33"/>
    <mergeCell ref="A34:F34"/>
    <mergeCell ref="A82:F82"/>
    <mergeCell ref="A43:F43"/>
    <mergeCell ref="B56:B57"/>
    <mergeCell ref="B58:B60"/>
    <mergeCell ref="A65:C65"/>
    <mergeCell ref="D65:E65"/>
    <mergeCell ref="A66:F66"/>
    <mergeCell ref="A74:C74"/>
    <mergeCell ref="D74:E74"/>
    <mergeCell ref="A75:F75"/>
    <mergeCell ref="A81:C81"/>
    <mergeCell ref="D81:E81"/>
    <mergeCell ref="A96:C96"/>
    <mergeCell ref="D96:F96"/>
    <mergeCell ref="A97:C97"/>
    <mergeCell ref="D97:F97"/>
    <mergeCell ref="A88:C88"/>
    <mergeCell ref="D88:E88"/>
    <mergeCell ref="A89:F89"/>
    <mergeCell ref="A94:C94"/>
    <mergeCell ref="D94:E94"/>
    <mergeCell ref="A95:F95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4836A-369F-4669-B91A-D5AF20D3F65F}">
  <dimension ref="A1:M104"/>
  <sheetViews>
    <sheetView topLeftCell="A88" zoomScale="85" zoomScaleNormal="85" workbookViewId="0">
      <selection activeCell="D11" sqref="D11"/>
    </sheetView>
  </sheetViews>
  <sheetFormatPr defaultColWidth="8.875" defaultRowHeight="16.5"/>
  <cols>
    <col min="1" max="1" width="8.875" style="2"/>
    <col min="2" max="2" width="35.375" style="2" customWidth="1"/>
    <col min="3" max="3" width="50.25" style="2" customWidth="1"/>
    <col min="4" max="4" width="16.25" style="2" customWidth="1"/>
    <col min="5" max="5" width="10.25" style="2" bestFit="1" customWidth="1"/>
    <col min="6" max="6" width="29.875" style="2" customWidth="1"/>
    <col min="7" max="7" width="14.125" style="1" bestFit="1" customWidth="1"/>
    <col min="8" max="12" width="8.875" style="2"/>
    <col min="13" max="13" width="15.25" style="2" bestFit="1" customWidth="1"/>
    <col min="14" max="16384" width="8.875" style="2"/>
  </cols>
  <sheetData>
    <row r="1" spans="1:6" ht="27.6" customHeight="1">
      <c r="A1" s="196" t="s">
        <v>45</v>
      </c>
      <c r="B1" s="196"/>
      <c r="C1" s="196"/>
      <c r="D1" s="196"/>
      <c r="E1" s="196"/>
      <c r="F1" s="196"/>
    </row>
    <row r="2" spans="1:6" ht="27.6" customHeight="1">
      <c r="A2" s="197" t="s">
        <v>56</v>
      </c>
      <c r="B2" s="197"/>
      <c r="C2" s="197"/>
      <c r="D2" s="197"/>
      <c r="E2" s="197"/>
      <c r="F2" s="197"/>
    </row>
    <row r="3" spans="1:6" ht="27.6" customHeight="1">
      <c r="A3" s="29" t="s">
        <v>46</v>
      </c>
      <c r="B3" s="30" t="s">
        <v>47</v>
      </c>
      <c r="C3" s="30" t="s">
        <v>48</v>
      </c>
      <c r="D3" s="31" t="s">
        <v>49</v>
      </c>
      <c r="E3" s="31" t="s">
        <v>50</v>
      </c>
      <c r="F3" s="31" t="s">
        <v>51</v>
      </c>
    </row>
    <row r="4" spans="1:6" ht="27.6" customHeight="1">
      <c r="A4" s="32">
        <v>1</v>
      </c>
      <c r="B4" s="33" t="s">
        <v>53</v>
      </c>
      <c r="C4" s="34"/>
      <c r="D4" s="80">
        <f>10821420/30</f>
        <v>360714</v>
      </c>
      <c r="E4" s="32">
        <v>1</v>
      </c>
      <c r="F4" s="43">
        <f>D4*E4</f>
        <v>360714</v>
      </c>
    </row>
    <row r="5" spans="1:6" ht="26.45" customHeight="1">
      <c r="A5" s="32">
        <v>2</v>
      </c>
      <c r="B5" s="35" t="s">
        <v>54</v>
      </c>
      <c r="C5" s="36"/>
      <c r="D5" s="81">
        <f>'Registration Fee'!Z79/30</f>
        <v>751380</v>
      </c>
      <c r="E5" s="37">
        <v>1</v>
      </c>
      <c r="F5" s="43">
        <f>D5*E5</f>
        <v>751380</v>
      </c>
    </row>
    <row r="6" spans="1:6" ht="27.6" customHeight="1">
      <c r="A6" s="172"/>
      <c r="B6" s="172"/>
      <c r="C6" s="172"/>
      <c r="D6" s="199" t="s">
        <v>166</v>
      </c>
      <c r="E6" s="200"/>
      <c r="F6" s="77">
        <f>D4+D5</f>
        <v>1112094</v>
      </c>
    </row>
    <row r="7" spans="1:6" ht="27.6" customHeight="1">
      <c r="A7" s="201"/>
      <c r="B7" s="202"/>
      <c r="C7" s="202"/>
      <c r="D7" s="202"/>
      <c r="E7" s="202"/>
      <c r="F7" s="203"/>
    </row>
    <row r="8" spans="1:6" ht="27.6" customHeight="1">
      <c r="A8" s="230" t="s">
        <v>57</v>
      </c>
      <c r="B8" s="230"/>
      <c r="C8" s="230"/>
      <c r="D8" s="230"/>
      <c r="E8" s="230"/>
      <c r="F8" s="230"/>
    </row>
    <row r="9" spans="1:6" ht="27.6" customHeight="1">
      <c r="A9" s="222" t="s">
        <v>70</v>
      </c>
      <c r="B9" s="223"/>
      <c r="C9" s="223"/>
      <c r="D9" s="223"/>
      <c r="E9" s="223"/>
      <c r="F9" s="223"/>
    </row>
    <row r="10" spans="1:6" ht="27.6" customHeight="1">
      <c r="A10" s="122" t="s">
        <v>46</v>
      </c>
      <c r="B10" s="123" t="s">
        <v>47</v>
      </c>
      <c r="C10" s="123" t="s">
        <v>48</v>
      </c>
      <c r="D10" s="124" t="s">
        <v>49</v>
      </c>
      <c r="E10" s="124" t="s">
        <v>50</v>
      </c>
      <c r="F10" s="124" t="s">
        <v>51</v>
      </c>
    </row>
    <row r="11" spans="1:6" ht="27.6" customHeight="1">
      <c r="A11" s="125" t="s">
        <v>1</v>
      </c>
      <c r="B11" s="99" t="s">
        <v>55</v>
      </c>
      <c r="C11" s="126"/>
      <c r="D11" s="127">
        <f>3500000/30</f>
        <v>116666.66666666667</v>
      </c>
      <c r="E11" s="128">
        <v>1</v>
      </c>
      <c r="F11" s="129">
        <f>D11*E11</f>
        <v>116666.66666666667</v>
      </c>
    </row>
    <row r="12" spans="1:6" s="1" customFormat="1" ht="27.6" customHeight="1">
      <c r="A12" s="219"/>
      <c r="B12" s="220"/>
      <c r="C12" s="221"/>
      <c r="D12" s="211" t="s">
        <v>165</v>
      </c>
      <c r="E12" s="211"/>
      <c r="F12" s="130">
        <f>SUM(F11:F11)</f>
        <v>116666.66666666667</v>
      </c>
    </row>
    <row r="13" spans="1:6" s="1" customFormat="1" ht="27.6" customHeight="1">
      <c r="A13" s="224" t="s">
        <v>71</v>
      </c>
      <c r="B13" s="225"/>
      <c r="C13" s="225"/>
      <c r="D13" s="225"/>
      <c r="E13" s="225"/>
      <c r="F13" s="226"/>
    </row>
    <row r="14" spans="1:6" s="1" customFormat="1" ht="27.6" customHeight="1">
      <c r="A14" s="122" t="s">
        <v>46</v>
      </c>
      <c r="B14" s="123" t="s">
        <v>47</v>
      </c>
      <c r="C14" s="123" t="s">
        <v>48</v>
      </c>
      <c r="D14" s="124" t="s">
        <v>49</v>
      </c>
      <c r="E14" s="124" t="s">
        <v>50</v>
      </c>
      <c r="F14" s="124" t="s">
        <v>51</v>
      </c>
    </row>
    <row r="15" spans="1:6" s="1" customFormat="1" ht="27.6" customHeight="1">
      <c r="A15" s="131" t="s">
        <v>3</v>
      </c>
      <c r="B15" s="132" t="s">
        <v>58</v>
      </c>
      <c r="C15" s="95"/>
      <c r="D15" s="107">
        <f>1500000/30</f>
        <v>50000</v>
      </c>
      <c r="E15" s="108">
        <v>1</v>
      </c>
      <c r="F15" s="118">
        <f t="shared" ref="F15:F24" si="0">D15*E15</f>
        <v>50000</v>
      </c>
    </row>
    <row r="16" spans="1:6" s="1" customFormat="1" ht="40.9" customHeight="1">
      <c r="A16" s="131" t="s">
        <v>75</v>
      </c>
      <c r="B16" s="99" t="s">
        <v>84</v>
      </c>
      <c r="C16" s="99" t="s">
        <v>206</v>
      </c>
      <c r="D16" s="109">
        <f>5000/30</f>
        <v>166.66666666666666</v>
      </c>
      <c r="E16" s="110">
        <v>17</v>
      </c>
      <c r="F16" s="111">
        <f t="shared" si="0"/>
        <v>2833.333333333333</v>
      </c>
    </row>
    <row r="17" spans="1:6" s="1" customFormat="1" ht="27.6" customHeight="1">
      <c r="A17" s="131" t="s">
        <v>76</v>
      </c>
      <c r="B17" s="112" t="s">
        <v>85</v>
      </c>
      <c r="C17" s="112" t="s">
        <v>86</v>
      </c>
      <c r="D17" s="113">
        <f>(85000*1.05)/30</f>
        <v>2975</v>
      </c>
      <c r="E17" s="114">
        <v>12</v>
      </c>
      <c r="F17" s="111">
        <f t="shared" si="0"/>
        <v>35700</v>
      </c>
    </row>
    <row r="18" spans="1:6" s="1" customFormat="1" ht="27.6" customHeight="1">
      <c r="A18" s="131" t="s">
        <v>77</v>
      </c>
      <c r="B18" s="112" t="s">
        <v>87</v>
      </c>
      <c r="C18" s="112"/>
      <c r="D18" s="113">
        <f>(12000*1.05)/30</f>
        <v>420</v>
      </c>
      <c r="E18" s="114">
        <v>1</v>
      </c>
      <c r="F18" s="115">
        <f t="shared" si="0"/>
        <v>420</v>
      </c>
    </row>
    <row r="19" spans="1:6" s="1" customFormat="1" ht="27.6" customHeight="1">
      <c r="A19" s="131" t="s">
        <v>78</v>
      </c>
      <c r="B19" s="191" t="s">
        <v>91</v>
      </c>
      <c r="C19" s="95" t="s">
        <v>89</v>
      </c>
      <c r="D19" s="116">
        <f>(180000*1.05)/30</f>
        <v>6300</v>
      </c>
      <c r="E19" s="117">
        <v>1</v>
      </c>
      <c r="F19" s="118">
        <f t="shared" si="0"/>
        <v>6300</v>
      </c>
    </row>
    <row r="20" spans="1:6" s="1" customFormat="1" ht="27.6" customHeight="1">
      <c r="A20" s="131" t="s">
        <v>79</v>
      </c>
      <c r="B20" s="191"/>
      <c r="C20" s="95" t="s">
        <v>88</v>
      </c>
      <c r="D20" s="116">
        <f>(120000*1.05)/30</f>
        <v>4200</v>
      </c>
      <c r="E20" s="117">
        <v>5</v>
      </c>
      <c r="F20" s="118">
        <f t="shared" si="0"/>
        <v>21000</v>
      </c>
    </row>
    <row r="21" spans="1:6" s="1" customFormat="1" ht="27.6" customHeight="1">
      <c r="A21" s="131" t="s">
        <v>80</v>
      </c>
      <c r="B21" s="192"/>
      <c r="C21" s="104" t="s">
        <v>90</v>
      </c>
      <c r="D21" s="119">
        <f>(15000*1.05)/30</f>
        <v>525</v>
      </c>
      <c r="E21" s="120">
        <v>10</v>
      </c>
      <c r="F21" s="121">
        <f t="shared" si="0"/>
        <v>5250</v>
      </c>
    </row>
    <row r="22" spans="1:6" s="1" customFormat="1" ht="27.6" customHeight="1">
      <c r="A22" s="131" t="s">
        <v>81</v>
      </c>
      <c r="B22" s="95" t="s">
        <v>92</v>
      </c>
      <c r="C22" s="95" t="s">
        <v>93</v>
      </c>
      <c r="D22" s="116">
        <f>(23000*1.05)/30</f>
        <v>805</v>
      </c>
      <c r="E22" s="117">
        <v>1</v>
      </c>
      <c r="F22" s="118">
        <f t="shared" si="0"/>
        <v>805</v>
      </c>
    </row>
    <row r="23" spans="1:6" s="1" customFormat="1" ht="27.6" customHeight="1">
      <c r="A23" s="131" t="s">
        <v>82</v>
      </c>
      <c r="B23" s="95" t="s">
        <v>203</v>
      </c>
      <c r="C23" s="95" t="s">
        <v>204</v>
      </c>
      <c r="D23" s="116">
        <v>1000</v>
      </c>
      <c r="E23" s="117">
        <v>5</v>
      </c>
      <c r="F23" s="118">
        <f t="shared" si="0"/>
        <v>5000</v>
      </c>
    </row>
    <row r="24" spans="1:6" s="1" customFormat="1" ht="27.6" customHeight="1">
      <c r="A24" s="131" t="s">
        <v>83</v>
      </c>
      <c r="B24" s="95" t="s">
        <v>94</v>
      </c>
      <c r="C24" s="95" t="s">
        <v>95</v>
      </c>
      <c r="D24" s="116">
        <f>(500*1.05)/30</f>
        <v>17.5</v>
      </c>
      <c r="E24" s="117">
        <v>8</v>
      </c>
      <c r="F24" s="118">
        <f t="shared" si="0"/>
        <v>140</v>
      </c>
    </row>
    <row r="25" spans="1:6" s="1" customFormat="1" ht="27.6" customHeight="1">
      <c r="A25" s="227"/>
      <c r="B25" s="228"/>
      <c r="C25" s="229"/>
      <c r="D25" s="211" t="s">
        <v>165</v>
      </c>
      <c r="E25" s="211"/>
      <c r="F25" s="133">
        <f>SUM(F15:F24)</f>
        <v>127448.33333333334</v>
      </c>
    </row>
    <row r="26" spans="1:6" s="1" customFormat="1" ht="27.6" customHeight="1">
      <c r="A26" s="212" t="s">
        <v>72</v>
      </c>
      <c r="B26" s="212"/>
      <c r="C26" s="212"/>
      <c r="D26" s="212"/>
      <c r="E26" s="212"/>
      <c r="F26" s="212"/>
    </row>
    <row r="27" spans="1:6" s="1" customFormat="1" ht="27.6" customHeight="1">
      <c r="A27" s="122" t="s">
        <v>46</v>
      </c>
      <c r="B27" s="123" t="s">
        <v>47</v>
      </c>
      <c r="C27" s="123" t="s">
        <v>48</v>
      </c>
      <c r="D27" s="124" t="s">
        <v>49</v>
      </c>
      <c r="E27" s="124" t="s">
        <v>50</v>
      </c>
      <c r="F27" s="124" t="s">
        <v>51</v>
      </c>
    </row>
    <row r="28" spans="1:6" s="1" customFormat="1" ht="27.6" customHeight="1">
      <c r="A28" s="134" t="s">
        <v>4</v>
      </c>
      <c r="B28" s="135" t="s">
        <v>59</v>
      </c>
      <c r="C28" s="136" t="s">
        <v>177</v>
      </c>
      <c r="D28" s="127">
        <f>220/30</f>
        <v>7.333333333333333</v>
      </c>
      <c r="E28" s="128">
        <v>1500</v>
      </c>
      <c r="F28" s="137">
        <f>SUM(D28*E28)</f>
        <v>11000</v>
      </c>
    </row>
    <row r="29" spans="1:6" s="1" customFormat="1" ht="27.6" customHeight="1">
      <c r="A29" s="134" t="s">
        <v>5</v>
      </c>
      <c r="B29" s="135" t="s">
        <v>60</v>
      </c>
      <c r="C29" s="136" t="s">
        <v>178</v>
      </c>
      <c r="D29" s="127">
        <f>260/30</f>
        <v>8.6666666666666661</v>
      </c>
      <c r="E29" s="128">
        <v>4800</v>
      </c>
      <c r="F29" s="137">
        <f t="shared" ref="F29:F31" si="1">SUM(D29*E29)</f>
        <v>41600</v>
      </c>
    </row>
    <row r="30" spans="1:6" s="1" customFormat="1" ht="38.25" customHeight="1">
      <c r="A30" s="134" t="s">
        <v>6</v>
      </c>
      <c r="B30" s="135" t="s">
        <v>61</v>
      </c>
      <c r="C30" s="136" t="s">
        <v>179</v>
      </c>
      <c r="D30" s="127">
        <f>285/30</f>
        <v>9.5</v>
      </c>
      <c r="E30" s="128">
        <v>6150</v>
      </c>
      <c r="F30" s="137">
        <f t="shared" si="1"/>
        <v>58425</v>
      </c>
    </row>
    <row r="31" spans="1:6" s="1" customFormat="1" ht="27.6" customHeight="1">
      <c r="A31" s="134" t="s">
        <v>7</v>
      </c>
      <c r="B31" s="135" t="s">
        <v>8</v>
      </c>
      <c r="C31" s="136" t="s">
        <v>66</v>
      </c>
      <c r="D31" s="127">
        <f>600/30</f>
        <v>20</v>
      </c>
      <c r="E31" s="128">
        <v>750</v>
      </c>
      <c r="F31" s="137">
        <f t="shared" si="1"/>
        <v>15000</v>
      </c>
    </row>
    <row r="32" spans="1:6" s="1" customFormat="1" ht="27.6" customHeight="1">
      <c r="A32" s="134" t="s">
        <v>9</v>
      </c>
      <c r="B32" s="135" t="s">
        <v>62</v>
      </c>
      <c r="C32" s="136" t="s">
        <v>67</v>
      </c>
      <c r="D32" s="127">
        <f>(23000*1.1)/30</f>
        <v>843.33333333333348</v>
      </c>
      <c r="E32" s="128">
        <v>60</v>
      </c>
      <c r="F32" s="137">
        <f>SUM(D32*E32)</f>
        <v>50600.000000000007</v>
      </c>
    </row>
    <row r="33" spans="1:13" s="1" customFormat="1" ht="27.6" customHeight="1">
      <c r="A33" s="219"/>
      <c r="B33" s="209"/>
      <c r="C33" s="221"/>
      <c r="D33" s="211" t="s">
        <v>165</v>
      </c>
      <c r="E33" s="211"/>
      <c r="F33" s="138">
        <f>SUM(F28:F32)</f>
        <v>176625</v>
      </c>
    </row>
    <row r="34" spans="1:13" s="1" customFormat="1" ht="27.6" customHeight="1">
      <c r="A34" s="222" t="s">
        <v>73</v>
      </c>
      <c r="B34" s="222"/>
      <c r="C34" s="222"/>
      <c r="D34" s="222"/>
      <c r="E34" s="222"/>
      <c r="F34" s="222"/>
    </row>
    <row r="35" spans="1:13" s="1" customFormat="1" ht="27.6" customHeight="1">
      <c r="A35" s="139" t="s">
        <v>46</v>
      </c>
      <c r="B35" s="140" t="s">
        <v>47</v>
      </c>
      <c r="C35" s="140" t="s">
        <v>48</v>
      </c>
      <c r="D35" s="124" t="s">
        <v>49</v>
      </c>
      <c r="E35" s="124" t="s">
        <v>50</v>
      </c>
      <c r="F35" s="124" t="s">
        <v>51</v>
      </c>
    </row>
    <row r="36" spans="1:13" ht="27.6" customHeight="1">
      <c r="A36" s="141" t="s">
        <v>74</v>
      </c>
      <c r="B36" s="95" t="s">
        <v>68</v>
      </c>
      <c r="C36" s="95"/>
      <c r="D36" s="101">
        <f>50000/30</f>
        <v>1666.6666666666667</v>
      </c>
      <c r="E36" s="102">
        <v>4</v>
      </c>
      <c r="F36" s="103">
        <f t="shared" ref="F36:F41" si="2">D36*E36</f>
        <v>6666.666666666667</v>
      </c>
    </row>
    <row r="37" spans="1:13" ht="47.25" customHeight="1">
      <c r="A37" s="141" t="s">
        <v>10</v>
      </c>
      <c r="B37" s="100" t="s">
        <v>195</v>
      </c>
      <c r="C37" s="95" t="s">
        <v>196</v>
      </c>
      <c r="D37" s="101">
        <f>(3000*1.05)/30</f>
        <v>105</v>
      </c>
      <c r="E37" s="102">
        <v>62</v>
      </c>
      <c r="F37" s="103">
        <f t="shared" si="2"/>
        <v>6510</v>
      </c>
    </row>
    <row r="38" spans="1:13" ht="36.4" customHeight="1">
      <c r="A38" s="141" t="s">
        <v>42</v>
      </c>
      <c r="B38" s="100" t="s">
        <v>197</v>
      </c>
      <c r="C38" s="95" t="s">
        <v>198</v>
      </c>
      <c r="D38" s="101">
        <f>(6200*1.15)/30</f>
        <v>237.66666666666663</v>
      </c>
      <c r="E38" s="102">
        <v>42</v>
      </c>
      <c r="F38" s="103">
        <f t="shared" si="2"/>
        <v>9981.9999999999982</v>
      </c>
    </row>
    <row r="39" spans="1:13" ht="36.4" customHeight="1">
      <c r="A39" s="141" t="s">
        <v>43</v>
      </c>
      <c r="B39" s="104" t="s">
        <v>199</v>
      </c>
      <c r="C39" s="104" t="s">
        <v>194</v>
      </c>
      <c r="D39" s="105">
        <v>700</v>
      </c>
      <c r="E39" s="106">
        <v>1</v>
      </c>
      <c r="F39" s="103">
        <f t="shared" si="2"/>
        <v>700</v>
      </c>
    </row>
    <row r="40" spans="1:13" ht="57" customHeight="1">
      <c r="A40" s="141" t="s">
        <v>11</v>
      </c>
      <c r="B40" s="95" t="s">
        <v>200</v>
      </c>
      <c r="C40" s="95" t="s">
        <v>216</v>
      </c>
      <c r="D40" s="107">
        <v>250</v>
      </c>
      <c r="E40" s="108">
        <v>28</v>
      </c>
      <c r="F40" s="103">
        <f t="shared" si="2"/>
        <v>7000</v>
      </c>
    </row>
    <row r="41" spans="1:13" ht="28.9" customHeight="1">
      <c r="A41" s="141" t="s">
        <v>201</v>
      </c>
      <c r="B41" s="95" t="s">
        <v>44</v>
      </c>
      <c r="C41" s="95" t="s">
        <v>52</v>
      </c>
      <c r="D41" s="96">
        <v>25000</v>
      </c>
      <c r="E41" s="97">
        <v>1</v>
      </c>
      <c r="F41" s="98">
        <f t="shared" si="2"/>
        <v>25000</v>
      </c>
    </row>
    <row r="42" spans="1:13" ht="27.6" customHeight="1">
      <c r="A42" s="208"/>
      <c r="B42" s="209"/>
      <c r="C42" s="210"/>
      <c r="D42" s="211" t="s">
        <v>165</v>
      </c>
      <c r="E42" s="211"/>
      <c r="F42" s="142">
        <f>SUM(F36:F41)</f>
        <v>55858.666666666664</v>
      </c>
    </row>
    <row r="43" spans="1:13" s="1" customFormat="1" ht="27.6" customHeight="1">
      <c r="A43" s="214" t="s">
        <v>96</v>
      </c>
      <c r="B43" s="215"/>
      <c r="C43" s="215"/>
      <c r="D43" s="215"/>
      <c r="E43" s="215"/>
      <c r="F43" s="216"/>
      <c r="H43" s="2"/>
      <c r="I43" s="2"/>
      <c r="J43" s="2"/>
      <c r="K43" s="2"/>
      <c r="L43" s="2"/>
      <c r="M43" s="2"/>
    </row>
    <row r="44" spans="1:13" s="1" customFormat="1" ht="27.6" customHeight="1">
      <c r="A44" s="122" t="s">
        <v>46</v>
      </c>
      <c r="B44" s="123" t="s">
        <v>47</v>
      </c>
      <c r="C44" s="123" t="s">
        <v>48</v>
      </c>
      <c r="D44" s="124" t="s">
        <v>49</v>
      </c>
      <c r="E44" s="124" t="s">
        <v>50</v>
      </c>
      <c r="F44" s="124" t="s">
        <v>51</v>
      </c>
      <c r="H44" s="2"/>
      <c r="I44" s="2"/>
      <c r="J44" s="2"/>
      <c r="K44" s="2"/>
      <c r="L44" s="2"/>
      <c r="M44" s="2"/>
    </row>
    <row r="45" spans="1:13" s="1" customFormat="1" ht="27.6" customHeight="1">
      <c r="A45" s="125" t="s">
        <v>144</v>
      </c>
      <c r="B45" s="99" t="s">
        <v>98</v>
      </c>
      <c r="C45" s="99"/>
      <c r="D45" s="109">
        <f>(150000*1.05)/30</f>
        <v>5250</v>
      </c>
      <c r="E45" s="110">
        <v>1</v>
      </c>
      <c r="F45" s="111">
        <f>D45*E45</f>
        <v>5250</v>
      </c>
      <c r="H45" s="2"/>
      <c r="I45" s="2"/>
      <c r="J45" s="2"/>
      <c r="K45" s="2"/>
      <c r="L45" s="2"/>
      <c r="M45" s="2"/>
    </row>
    <row r="46" spans="1:13" s="1" customFormat="1" ht="27.6" customHeight="1">
      <c r="A46" s="125" t="s">
        <v>145</v>
      </c>
      <c r="B46" s="99" t="s">
        <v>97</v>
      </c>
      <c r="C46" s="99"/>
      <c r="D46" s="109">
        <f>(45000*1.05)/30</f>
        <v>1575</v>
      </c>
      <c r="E46" s="110">
        <v>1</v>
      </c>
      <c r="F46" s="111">
        <f t="shared" ref="F46:F64" si="3">E46*D46</f>
        <v>1575</v>
      </c>
      <c r="H46" s="2"/>
      <c r="I46" s="2"/>
      <c r="J46" s="2"/>
      <c r="K46" s="2"/>
      <c r="L46" s="2"/>
      <c r="M46" s="2"/>
    </row>
    <row r="47" spans="1:13" s="1" customFormat="1" ht="27.6" customHeight="1">
      <c r="A47" s="125" t="s">
        <v>12</v>
      </c>
      <c r="B47" s="99" t="s">
        <v>99</v>
      </c>
      <c r="C47" s="99"/>
      <c r="D47" s="109">
        <f>(40000*1.05)/30</f>
        <v>1400</v>
      </c>
      <c r="E47" s="110">
        <v>1</v>
      </c>
      <c r="F47" s="111">
        <f t="shared" si="3"/>
        <v>1400</v>
      </c>
      <c r="H47" s="2"/>
      <c r="I47" s="2"/>
      <c r="J47" s="2"/>
      <c r="K47" s="2"/>
      <c r="L47" s="2"/>
      <c r="M47" s="2"/>
    </row>
    <row r="48" spans="1:13" s="1" customFormat="1" ht="27.6" customHeight="1">
      <c r="A48" s="125" t="s">
        <v>13</v>
      </c>
      <c r="B48" s="99" t="s">
        <v>100</v>
      </c>
      <c r="C48" s="99"/>
      <c r="D48" s="109">
        <f>(10000*1.05)/30</f>
        <v>350</v>
      </c>
      <c r="E48" s="110">
        <v>8</v>
      </c>
      <c r="F48" s="111">
        <f t="shared" si="3"/>
        <v>2800</v>
      </c>
      <c r="H48" s="2"/>
      <c r="I48" s="2"/>
      <c r="J48" s="2"/>
      <c r="K48" s="2"/>
      <c r="L48" s="2"/>
      <c r="M48" s="2"/>
    </row>
    <row r="49" spans="1:13" s="1" customFormat="1" ht="27.6" customHeight="1">
      <c r="A49" s="125" t="s">
        <v>14</v>
      </c>
      <c r="B49" s="99" t="s">
        <v>101</v>
      </c>
      <c r="C49" s="99"/>
      <c r="D49" s="109">
        <f>15000/30</f>
        <v>500</v>
      </c>
      <c r="E49" s="110">
        <v>8</v>
      </c>
      <c r="F49" s="111">
        <f t="shared" si="3"/>
        <v>4000</v>
      </c>
      <c r="H49" s="2"/>
      <c r="I49" s="2"/>
      <c r="J49" s="2"/>
      <c r="K49" s="2"/>
      <c r="L49" s="2"/>
      <c r="M49" s="2"/>
    </row>
    <row r="50" spans="1:13" s="1" customFormat="1" ht="27.6" customHeight="1">
      <c r="A50" s="125" t="s">
        <v>15</v>
      </c>
      <c r="B50" s="99" t="s">
        <v>102</v>
      </c>
      <c r="C50" s="99"/>
      <c r="D50" s="109">
        <f>(30000*1.05)/30</f>
        <v>1050</v>
      </c>
      <c r="E50" s="110">
        <v>1</v>
      </c>
      <c r="F50" s="111">
        <f t="shared" si="3"/>
        <v>1050</v>
      </c>
      <c r="H50" s="2"/>
      <c r="I50" s="2"/>
      <c r="J50" s="2"/>
      <c r="K50" s="2"/>
      <c r="L50" s="2"/>
      <c r="M50" s="2"/>
    </row>
    <row r="51" spans="1:13" s="1" customFormat="1" ht="46.9" customHeight="1">
      <c r="A51" s="125" t="s">
        <v>16</v>
      </c>
      <c r="B51" s="99" t="s">
        <v>103</v>
      </c>
      <c r="C51" s="99" t="s">
        <v>104</v>
      </c>
      <c r="D51" s="109">
        <f>(120000*1.05)/30</f>
        <v>4200</v>
      </c>
      <c r="E51" s="110">
        <v>1</v>
      </c>
      <c r="F51" s="111">
        <f t="shared" si="3"/>
        <v>4200</v>
      </c>
      <c r="H51" s="2"/>
      <c r="I51" s="2"/>
      <c r="J51" s="2"/>
      <c r="K51" s="2"/>
      <c r="L51" s="2"/>
      <c r="M51" s="2"/>
    </row>
    <row r="52" spans="1:13" s="1" customFormat="1" ht="27.6" customHeight="1">
      <c r="A52" s="125" t="s">
        <v>17</v>
      </c>
      <c r="B52" s="99" t="s">
        <v>105</v>
      </c>
      <c r="C52" s="99"/>
      <c r="D52" s="109">
        <f>(2500*1.05)/30</f>
        <v>87.5</v>
      </c>
      <c r="E52" s="110">
        <v>4</v>
      </c>
      <c r="F52" s="111">
        <f t="shared" si="3"/>
        <v>350</v>
      </c>
      <c r="H52" s="2"/>
      <c r="I52" s="2"/>
      <c r="J52" s="2"/>
      <c r="K52" s="2"/>
      <c r="L52" s="2"/>
      <c r="M52" s="2"/>
    </row>
    <row r="53" spans="1:13" s="1" customFormat="1" ht="27.6" customHeight="1">
      <c r="A53" s="125" t="s">
        <v>18</v>
      </c>
      <c r="B53" s="99" t="s">
        <v>106</v>
      </c>
      <c r="C53" s="99"/>
      <c r="D53" s="109">
        <f>(15000*1.05)/30</f>
        <v>525</v>
      </c>
      <c r="E53" s="110">
        <v>3</v>
      </c>
      <c r="F53" s="111">
        <f t="shared" si="3"/>
        <v>1575</v>
      </c>
      <c r="H53" s="2"/>
      <c r="I53" s="2"/>
      <c r="J53" s="2"/>
      <c r="K53" s="2"/>
      <c r="L53" s="2"/>
      <c r="M53" s="2"/>
    </row>
    <row r="54" spans="1:13" s="1" customFormat="1" ht="27.6" customHeight="1">
      <c r="A54" s="125" t="s">
        <v>146</v>
      </c>
      <c r="B54" s="99" t="s">
        <v>107</v>
      </c>
      <c r="C54" s="99"/>
      <c r="D54" s="109">
        <f>(1000*1.05)/30</f>
        <v>35</v>
      </c>
      <c r="E54" s="110">
        <v>20</v>
      </c>
      <c r="F54" s="111">
        <f t="shared" si="3"/>
        <v>700</v>
      </c>
      <c r="H54" s="2"/>
      <c r="I54" s="2"/>
      <c r="J54" s="2"/>
      <c r="K54" s="2"/>
      <c r="L54" s="2"/>
      <c r="M54" s="2"/>
    </row>
    <row r="55" spans="1:13" s="1" customFormat="1" ht="27.6" customHeight="1">
      <c r="A55" s="125" t="s">
        <v>147</v>
      </c>
      <c r="B55" s="112" t="s">
        <v>108</v>
      </c>
      <c r="C55" s="112"/>
      <c r="D55" s="113">
        <f>(2000*1.05)/30</f>
        <v>70</v>
      </c>
      <c r="E55" s="114">
        <v>20</v>
      </c>
      <c r="F55" s="115">
        <f t="shared" si="3"/>
        <v>1400</v>
      </c>
      <c r="H55" s="2"/>
      <c r="I55" s="2"/>
      <c r="J55" s="2"/>
      <c r="K55" s="2"/>
      <c r="L55" s="2"/>
      <c r="M55" s="2"/>
    </row>
    <row r="56" spans="1:13" s="1" customFormat="1" ht="27.6" customHeight="1">
      <c r="A56" s="125" t="s">
        <v>148</v>
      </c>
      <c r="B56" s="191" t="s">
        <v>211</v>
      </c>
      <c r="C56" s="143" t="s">
        <v>109</v>
      </c>
      <c r="D56" s="113">
        <f>30000/30</f>
        <v>1000</v>
      </c>
      <c r="E56" s="117">
        <v>1</v>
      </c>
      <c r="F56" s="118">
        <f t="shared" si="3"/>
        <v>1000</v>
      </c>
      <c r="H56" s="2"/>
      <c r="I56" s="2"/>
      <c r="J56" s="2"/>
      <c r="K56" s="2"/>
      <c r="L56" s="2"/>
      <c r="M56" s="2"/>
    </row>
    <row r="57" spans="1:13" s="1" customFormat="1" ht="27.6" customHeight="1">
      <c r="A57" s="125" t="s">
        <v>149</v>
      </c>
      <c r="B57" s="191"/>
      <c r="C57" s="95" t="s">
        <v>110</v>
      </c>
      <c r="D57" s="116">
        <f>(100000*1.05)/30</f>
        <v>3500</v>
      </c>
      <c r="E57" s="117">
        <v>1</v>
      </c>
      <c r="F57" s="118">
        <f>E57*D57</f>
        <v>3500</v>
      </c>
      <c r="H57" s="2"/>
      <c r="I57" s="2"/>
      <c r="J57" s="2"/>
      <c r="K57" s="2"/>
      <c r="L57" s="2"/>
      <c r="M57" s="2"/>
    </row>
    <row r="58" spans="1:13" ht="31.7" customHeight="1">
      <c r="A58" s="125" t="s">
        <v>150</v>
      </c>
      <c r="B58" s="217" t="s">
        <v>111</v>
      </c>
      <c r="C58" s="144" t="s">
        <v>180</v>
      </c>
      <c r="D58" s="145">
        <f>(800*1.05)/30</f>
        <v>28</v>
      </c>
      <c r="E58" s="146">
        <v>250</v>
      </c>
      <c r="F58" s="147">
        <f t="shared" si="3"/>
        <v>7000</v>
      </c>
    </row>
    <row r="59" spans="1:13" ht="27.6" customHeight="1">
      <c r="A59" s="125" t="s">
        <v>151</v>
      </c>
      <c r="B59" s="218"/>
      <c r="C59" s="99" t="s">
        <v>113</v>
      </c>
      <c r="D59" s="109">
        <f>(60*1.05)/30</f>
        <v>2.1</v>
      </c>
      <c r="E59" s="110">
        <v>250</v>
      </c>
      <c r="F59" s="111">
        <f t="shared" si="3"/>
        <v>525</v>
      </c>
      <c r="G59" s="67"/>
    </row>
    <row r="60" spans="1:13">
      <c r="A60" s="125" t="s">
        <v>152</v>
      </c>
      <c r="B60" s="218"/>
      <c r="C60" s="99" t="s">
        <v>114</v>
      </c>
      <c r="D60" s="109">
        <f>(500*1.05)/30</f>
        <v>17.5</v>
      </c>
      <c r="E60" s="110">
        <v>250</v>
      </c>
      <c r="F60" s="111">
        <f t="shared" si="3"/>
        <v>4375</v>
      </c>
    </row>
    <row r="61" spans="1:13" ht="31.15" customHeight="1">
      <c r="A61" s="125" t="s">
        <v>153</v>
      </c>
      <c r="B61" s="99" t="s">
        <v>115</v>
      </c>
      <c r="C61" s="99" t="s">
        <v>116</v>
      </c>
      <c r="D61" s="109">
        <f>(7000*1.05)/30</f>
        <v>245</v>
      </c>
      <c r="E61" s="110">
        <v>20</v>
      </c>
      <c r="F61" s="111">
        <f t="shared" si="3"/>
        <v>4900</v>
      </c>
    </row>
    <row r="62" spans="1:13" ht="31.15" customHeight="1">
      <c r="A62" s="125" t="s">
        <v>154</v>
      </c>
      <c r="B62" s="99" t="s">
        <v>117</v>
      </c>
      <c r="C62" s="99"/>
      <c r="D62" s="109">
        <f>(30000*1.05)/30</f>
        <v>1050</v>
      </c>
      <c r="E62" s="110">
        <v>1</v>
      </c>
      <c r="F62" s="111">
        <f t="shared" si="3"/>
        <v>1050</v>
      </c>
    </row>
    <row r="63" spans="1:13" ht="27.6" customHeight="1">
      <c r="A63" s="125" t="s">
        <v>155</v>
      </c>
      <c r="B63" s="99" t="s">
        <v>118</v>
      </c>
      <c r="C63" s="99"/>
      <c r="D63" s="109">
        <f>(40000*1.05)/30</f>
        <v>1400</v>
      </c>
      <c r="E63" s="110">
        <v>1</v>
      </c>
      <c r="F63" s="111">
        <f t="shared" si="3"/>
        <v>1400</v>
      </c>
    </row>
    <row r="64" spans="1:13" ht="27.6" customHeight="1">
      <c r="A64" s="125" t="s">
        <v>156</v>
      </c>
      <c r="B64" s="99" t="s">
        <v>119</v>
      </c>
      <c r="C64" s="99"/>
      <c r="D64" s="127">
        <f>(50000*1.05)/30</f>
        <v>1750</v>
      </c>
      <c r="E64" s="128">
        <v>1</v>
      </c>
      <c r="F64" s="137">
        <f t="shared" si="3"/>
        <v>1750</v>
      </c>
    </row>
    <row r="65" spans="1:13" ht="27.6" customHeight="1">
      <c r="A65" s="219"/>
      <c r="B65" s="220"/>
      <c r="C65" s="221"/>
      <c r="D65" s="211" t="s">
        <v>165</v>
      </c>
      <c r="E65" s="211"/>
      <c r="F65" s="148">
        <f>SUM(F45:F64)</f>
        <v>49800</v>
      </c>
    </row>
    <row r="66" spans="1:13" ht="27.6" customHeight="1">
      <c r="A66" s="212" t="s">
        <v>173</v>
      </c>
      <c r="B66" s="212"/>
      <c r="C66" s="212"/>
      <c r="D66" s="212"/>
      <c r="E66" s="212"/>
      <c r="F66" s="212"/>
    </row>
    <row r="67" spans="1:13" ht="27.6" customHeight="1">
      <c r="A67" s="122" t="s">
        <v>46</v>
      </c>
      <c r="B67" s="123" t="s">
        <v>47</v>
      </c>
      <c r="C67" s="123" t="s">
        <v>48</v>
      </c>
      <c r="D67" s="124" t="s">
        <v>49</v>
      </c>
      <c r="E67" s="124" t="s">
        <v>50</v>
      </c>
      <c r="F67" s="124" t="s">
        <v>51</v>
      </c>
    </row>
    <row r="68" spans="1:13">
      <c r="A68" s="149" t="s">
        <v>19</v>
      </c>
      <c r="B68" s="99" t="s">
        <v>120</v>
      </c>
      <c r="C68" s="99" t="s">
        <v>121</v>
      </c>
      <c r="D68" s="109">
        <f>70/30</f>
        <v>2.3333333333333335</v>
      </c>
      <c r="E68" s="110">
        <v>1500</v>
      </c>
      <c r="F68" s="111">
        <f t="shared" ref="F68:F73" si="4">D68*E68</f>
        <v>3500</v>
      </c>
    </row>
    <row r="69" spans="1:13" ht="27.6" customHeight="1">
      <c r="A69" s="149" t="s">
        <v>158</v>
      </c>
      <c r="B69" s="99" t="s">
        <v>122</v>
      </c>
      <c r="C69" s="99"/>
      <c r="D69" s="109">
        <f>150/30</f>
        <v>5</v>
      </c>
      <c r="E69" s="110">
        <v>1500</v>
      </c>
      <c r="F69" s="111">
        <f t="shared" si="4"/>
        <v>7500</v>
      </c>
    </row>
    <row r="70" spans="1:13" ht="38.1" customHeight="1">
      <c r="A70" s="149" t="s">
        <v>20</v>
      </c>
      <c r="B70" s="99" t="s">
        <v>207</v>
      </c>
      <c r="C70" s="99" t="s">
        <v>208</v>
      </c>
      <c r="D70" s="109">
        <v>12</v>
      </c>
      <c r="E70" s="110">
        <v>1500</v>
      </c>
      <c r="F70" s="111">
        <f t="shared" si="4"/>
        <v>18000</v>
      </c>
    </row>
    <row r="71" spans="1:13" ht="27.6" customHeight="1">
      <c r="A71" s="149" t="s">
        <v>21</v>
      </c>
      <c r="B71" s="99" t="s">
        <v>123</v>
      </c>
      <c r="C71" s="99" t="s">
        <v>124</v>
      </c>
      <c r="D71" s="109">
        <f>53/30</f>
        <v>1.7666666666666666</v>
      </c>
      <c r="E71" s="110">
        <v>100</v>
      </c>
      <c r="F71" s="111">
        <f t="shared" si="4"/>
        <v>176.66666666666666</v>
      </c>
    </row>
    <row r="72" spans="1:13" s="1" customFormat="1" ht="27.6" customHeight="1">
      <c r="A72" s="149" t="s">
        <v>22</v>
      </c>
      <c r="B72" s="150" t="s">
        <v>125</v>
      </c>
      <c r="C72" s="150"/>
      <c r="D72" s="127">
        <f>(20*1.05)/30</f>
        <v>0.7</v>
      </c>
      <c r="E72" s="128">
        <v>500</v>
      </c>
      <c r="F72" s="137">
        <f t="shared" si="4"/>
        <v>350</v>
      </c>
      <c r="H72" s="2"/>
      <c r="I72" s="2"/>
      <c r="J72" s="2"/>
      <c r="K72" s="2"/>
      <c r="L72" s="2"/>
      <c r="M72" s="2"/>
    </row>
    <row r="73" spans="1:13" s="1" customFormat="1" ht="27.6" customHeight="1">
      <c r="A73" s="149" t="s">
        <v>210</v>
      </c>
      <c r="B73" s="150" t="s">
        <v>126</v>
      </c>
      <c r="C73" s="150"/>
      <c r="D73" s="127">
        <f>(100*1.05)/30</f>
        <v>3.5</v>
      </c>
      <c r="E73" s="128">
        <v>300</v>
      </c>
      <c r="F73" s="137">
        <f t="shared" si="4"/>
        <v>1050</v>
      </c>
      <c r="H73" s="2"/>
      <c r="I73" s="2"/>
      <c r="J73" s="2"/>
      <c r="K73" s="2"/>
      <c r="L73" s="2"/>
      <c r="M73" s="2"/>
    </row>
    <row r="74" spans="1:13" s="1" customFormat="1" ht="27.6" customHeight="1">
      <c r="A74" s="213"/>
      <c r="B74" s="213"/>
      <c r="C74" s="213"/>
      <c r="D74" s="211" t="s">
        <v>165</v>
      </c>
      <c r="E74" s="211"/>
      <c r="F74" s="148">
        <f>SUM(F68:F73)</f>
        <v>30576.666666666668</v>
      </c>
      <c r="H74" s="2"/>
      <c r="I74" s="2"/>
      <c r="J74" s="2"/>
      <c r="K74" s="2"/>
      <c r="L74" s="2"/>
      <c r="M74" s="2"/>
    </row>
    <row r="75" spans="1:13" s="1" customFormat="1" ht="27.6" customHeight="1">
      <c r="A75" s="214" t="s">
        <v>159</v>
      </c>
      <c r="B75" s="215"/>
      <c r="C75" s="215"/>
      <c r="D75" s="215"/>
      <c r="E75" s="215"/>
      <c r="F75" s="216"/>
      <c r="H75" s="2"/>
      <c r="I75" s="2"/>
      <c r="J75" s="2"/>
      <c r="K75" s="2"/>
      <c r="L75" s="2"/>
      <c r="M75" s="2"/>
    </row>
    <row r="76" spans="1:13" s="1" customFormat="1" ht="27.6" customHeight="1">
      <c r="A76" s="122" t="s">
        <v>46</v>
      </c>
      <c r="B76" s="123" t="s">
        <v>47</v>
      </c>
      <c r="C76" s="123" t="s">
        <v>48</v>
      </c>
      <c r="D76" s="124" t="s">
        <v>49</v>
      </c>
      <c r="E76" s="124" t="s">
        <v>50</v>
      </c>
      <c r="F76" s="124" t="s">
        <v>51</v>
      </c>
      <c r="H76" s="2"/>
      <c r="I76" s="2"/>
      <c r="J76" s="2"/>
      <c r="K76" s="2"/>
      <c r="L76" s="2"/>
      <c r="M76" s="2"/>
    </row>
    <row r="77" spans="1:13" s="1" customFormat="1">
      <c r="A77" s="125" t="s">
        <v>160</v>
      </c>
      <c r="B77" s="112" t="s">
        <v>128</v>
      </c>
      <c r="C77" s="99" t="s">
        <v>205</v>
      </c>
      <c r="D77" s="127">
        <f>(25000*1.05)/30</f>
        <v>875</v>
      </c>
      <c r="E77" s="128">
        <v>32</v>
      </c>
      <c r="F77" s="137">
        <f>E77*D77</f>
        <v>28000</v>
      </c>
      <c r="H77" s="2"/>
      <c r="I77" s="2"/>
      <c r="J77" s="2"/>
      <c r="K77" s="2"/>
      <c r="L77" s="2"/>
      <c r="M77" s="2"/>
    </row>
    <row r="78" spans="1:13" s="1" customFormat="1" ht="27.6" customHeight="1">
      <c r="A78" s="125" t="s">
        <v>127</v>
      </c>
      <c r="B78" s="99" t="s">
        <v>129</v>
      </c>
      <c r="C78" s="99" t="s">
        <v>214</v>
      </c>
      <c r="D78" s="109">
        <f>(15000*1.05)/30</f>
        <v>525</v>
      </c>
      <c r="E78" s="110">
        <v>10</v>
      </c>
      <c r="F78" s="111">
        <f>+E78*D78</f>
        <v>5250</v>
      </c>
      <c r="H78" s="2"/>
      <c r="I78" s="2"/>
      <c r="J78" s="2"/>
      <c r="K78" s="2"/>
      <c r="L78" s="2"/>
      <c r="M78" s="2"/>
    </row>
    <row r="79" spans="1:13" s="1" customFormat="1" ht="27.6" customHeight="1">
      <c r="A79" s="125" t="s">
        <v>23</v>
      </c>
      <c r="B79" s="151" t="s">
        <v>131</v>
      </c>
      <c r="C79" s="99" t="s">
        <v>26</v>
      </c>
      <c r="D79" s="109">
        <v>2800</v>
      </c>
      <c r="E79" s="110">
        <v>2</v>
      </c>
      <c r="F79" s="111">
        <f>D79*E79</f>
        <v>5600</v>
      </c>
      <c r="H79" s="2"/>
      <c r="I79" s="2"/>
      <c r="J79" s="2"/>
      <c r="K79" s="2"/>
      <c r="L79" s="2"/>
      <c r="M79" s="2"/>
    </row>
    <row r="80" spans="1:13" s="1" customFormat="1" ht="27.6" customHeight="1">
      <c r="A80" s="125" t="s">
        <v>24</v>
      </c>
      <c r="B80" s="151" t="s">
        <v>132</v>
      </c>
      <c r="C80" s="99" t="s">
        <v>26</v>
      </c>
      <c r="D80" s="109">
        <f>(45000*1.05)/30</f>
        <v>1575</v>
      </c>
      <c r="E80" s="110">
        <v>2</v>
      </c>
      <c r="F80" s="111">
        <f>D80*E80</f>
        <v>3150</v>
      </c>
      <c r="H80" s="2"/>
      <c r="I80" s="2"/>
      <c r="J80" s="2"/>
      <c r="K80" s="2"/>
      <c r="L80" s="2"/>
      <c r="M80" s="2"/>
    </row>
    <row r="81" spans="1:13" s="1" customFormat="1" ht="27.6" customHeight="1">
      <c r="A81" s="219"/>
      <c r="B81" s="220"/>
      <c r="C81" s="221"/>
      <c r="D81" s="211" t="s">
        <v>165</v>
      </c>
      <c r="E81" s="211"/>
      <c r="F81" s="148">
        <f>SUM(F77:F80)</f>
        <v>42000</v>
      </c>
      <c r="H81" s="2"/>
      <c r="I81" s="2"/>
      <c r="J81" s="2"/>
      <c r="K81" s="2"/>
      <c r="L81" s="2"/>
      <c r="M81" s="2"/>
    </row>
    <row r="82" spans="1:13" s="1" customFormat="1" ht="27.6" customHeight="1">
      <c r="A82" s="212" t="s">
        <v>161</v>
      </c>
      <c r="B82" s="212"/>
      <c r="C82" s="212"/>
      <c r="D82" s="212"/>
      <c r="E82" s="212"/>
      <c r="F82" s="212"/>
      <c r="H82" s="2"/>
      <c r="I82" s="2"/>
      <c r="J82" s="2"/>
      <c r="K82" s="2"/>
      <c r="L82" s="2"/>
      <c r="M82" s="2"/>
    </row>
    <row r="83" spans="1:13" s="1" customFormat="1" ht="27.6" customHeight="1">
      <c r="A83" s="139" t="s">
        <v>46</v>
      </c>
      <c r="B83" s="140" t="s">
        <v>47</v>
      </c>
      <c r="C83" s="140" t="s">
        <v>48</v>
      </c>
      <c r="D83" s="124" t="s">
        <v>49</v>
      </c>
      <c r="E83" s="124" t="s">
        <v>50</v>
      </c>
      <c r="F83" s="124" t="s">
        <v>51</v>
      </c>
      <c r="H83" s="2"/>
      <c r="I83" s="2"/>
      <c r="J83" s="2"/>
      <c r="K83" s="2"/>
      <c r="L83" s="2"/>
      <c r="M83" s="2"/>
    </row>
    <row r="84" spans="1:13" s="1" customFormat="1" ht="27.6" customHeight="1">
      <c r="A84" s="131" t="s">
        <v>25</v>
      </c>
      <c r="B84" s="95" t="s">
        <v>133</v>
      </c>
      <c r="C84" s="95" t="s">
        <v>134</v>
      </c>
      <c r="D84" s="152">
        <f>24000/30</f>
        <v>800</v>
      </c>
      <c r="E84" s="117">
        <v>1</v>
      </c>
      <c r="F84" s="118">
        <f>+E84*D84</f>
        <v>800</v>
      </c>
      <c r="H84" s="2"/>
      <c r="I84" s="2"/>
      <c r="J84" s="2"/>
      <c r="K84" s="2"/>
      <c r="L84" s="2"/>
      <c r="M84" s="2"/>
    </row>
    <row r="85" spans="1:13" ht="38.25" customHeight="1">
      <c r="A85" s="131" t="s">
        <v>162</v>
      </c>
      <c r="B85" s="95" t="s">
        <v>69</v>
      </c>
      <c r="C85" s="95"/>
      <c r="D85" s="96">
        <f>(D5*0.03)</f>
        <v>22541.399999999998</v>
      </c>
      <c r="E85" s="97">
        <v>1</v>
      </c>
      <c r="F85" s="98">
        <f>D85*E85</f>
        <v>22541.399999999998</v>
      </c>
    </row>
    <row r="86" spans="1:13" s="1" customFormat="1" ht="27.6" customHeight="1">
      <c r="A86" s="131" t="s">
        <v>163</v>
      </c>
      <c r="B86" s="95" t="s">
        <v>136</v>
      </c>
      <c r="C86" s="95"/>
      <c r="D86" s="153">
        <f>(700000*1.05)/30</f>
        <v>24500</v>
      </c>
      <c r="E86" s="125">
        <v>1</v>
      </c>
      <c r="F86" s="111">
        <f>D86*E86</f>
        <v>24500</v>
      </c>
      <c r="H86" s="2"/>
      <c r="I86" s="2"/>
      <c r="J86" s="2"/>
      <c r="K86" s="2"/>
      <c r="L86" s="2"/>
      <c r="M86" s="2"/>
    </row>
    <row r="87" spans="1:13" s="1" customFormat="1">
      <c r="A87" s="131" t="s">
        <v>215</v>
      </c>
      <c r="B87" s="95" t="s">
        <v>135</v>
      </c>
      <c r="C87" s="95"/>
      <c r="D87" s="152">
        <f>111000/30</f>
        <v>3700</v>
      </c>
      <c r="E87" s="117">
        <v>1</v>
      </c>
      <c r="F87" s="118">
        <f>+E87*D87</f>
        <v>3700</v>
      </c>
      <c r="H87" s="2"/>
      <c r="I87" s="2"/>
      <c r="J87" s="2"/>
      <c r="K87" s="2"/>
      <c r="L87" s="2"/>
      <c r="M87" s="2"/>
    </row>
    <row r="88" spans="1:13" ht="27.6" customHeight="1">
      <c r="A88" s="208"/>
      <c r="B88" s="209"/>
      <c r="C88" s="210"/>
      <c r="D88" s="211" t="s">
        <v>165</v>
      </c>
      <c r="E88" s="211"/>
      <c r="F88" s="154">
        <f>SUM(F84:F87)</f>
        <v>51541.399999999994</v>
      </c>
    </row>
    <row r="89" spans="1:13" ht="27.6" customHeight="1">
      <c r="A89" s="212" t="s">
        <v>164</v>
      </c>
      <c r="B89" s="212"/>
      <c r="C89" s="212"/>
      <c r="D89" s="212"/>
      <c r="E89" s="212"/>
      <c r="F89" s="212"/>
    </row>
    <row r="90" spans="1:13" ht="27.6" customHeight="1">
      <c r="A90" s="122" t="s">
        <v>46</v>
      </c>
      <c r="B90" s="123" t="s">
        <v>47</v>
      </c>
      <c r="C90" s="123" t="s">
        <v>48</v>
      </c>
      <c r="D90" s="124" t="s">
        <v>49</v>
      </c>
      <c r="E90" s="124" t="s">
        <v>50</v>
      </c>
      <c r="F90" s="124" t="s">
        <v>51</v>
      </c>
    </row>
    <row r="91" spans="1:13">
      <c r="A91" s="125" t="s">
        <v>27</v>
      </c>
      <c r="B91" s="99" t="s">
        <v>138</v>
      </c>
      <c r="C91" s="99" t="s">
        <v>139</v>
      </c>
      <c r="D91" s="109">
        <f>(200000*1.05)/30</f>
        <v>7000</v>
      </c>
      <c r="E91" s="110">
        <v>1</v>
      </c>
      <c r="F91" s="111">
        <f>D91*E91</f>
        <v>7000</v>
      </c>
    </row>
    <row r="92" spans="1:13" ht="46.9" customHeight="1">
      <c r="A92" s="125" t="s">
        <v>28</v>
      </c>
      <c r="B92" s="99" t="s">
        <v>140</v>
      </c>
      <c r="C92" s="99" t="s">
        <v>141</v>
      </c>
      <c r="D92" s="109">
        <f>(150000*1.05)/30</f>
        <v>5250</v>
      </c>
      <c r="E92" s="110">
        <v>1</v>
      </c>
      <c r="F92" s="111">
        <f>D92*E92</f>
        <v>5250</v>
      </c>
    </row>
    <row r="93" spans="1:13" ht="27.6" customHeight="1">
      <c r="A93" s="125" t="s">
        <v>137</v>
      </c>
      <c r="B93" s="99" t="s">
        <v>142</v>
      </c>
      <c r="C93" s="99" t="s">
        <v>143</v>
      </c>
      <c r="D93" s="109">
        <f>15000/30</f>
        <v>500</v>
      </c>
      <c r="E93" s="110">
        <v>2</v>
      </c>
      <c r="F93" s="111">
        <f>D93*E93</f>
        <v>1000</v>
      </c>
    </row>
    <row r="94" spans="1:13" ht="27.6" customHeight="1">
      <c r="A94" s="213"/>
      <c r="B94" s="213"/>
      <c r="C94" s="213"/>
      <c r="D94" s="211" t="s">
        <v>165</v>
      </c>
      <c r="E94" s="211"/>
      <c r="F94" s="148">
        <f>SUM(F91:F93)</f>
        <v>13250</v>
      </c>
    </row>
    <row r="95" spans="1:13" ht="27.6" customHeight="1">
      <c r="A95" s="177"/>
      <c r="B95" s="178"/>
      <c r="C95" s="178"/>
      <c r="D95" s="178"/>
      <c r="E95" s="178"/>
      <c r="F95" s="179"/>
      <c r="G95" s="8"/>
    </row>
    <row r="96" spans="1:13" ht="27.6" customHeight="1">
      <c r="A96" s="180" t="s">
        <v>167</v>
      </c>
      <c r="B96" s="180"/>
      <c r="C96" s="180"/>
      <c r="D96" s="181">
        <f>F94+F88+F81+F74+F65+F42+F33+F25+F12</f>
        <v>663766.73333333328</v>
      </c>
      <c r="E96" s="181"/>
      <c r="F96" s="181"/>
      <c r="G96" s="8"/>
    </row>
    <row r="97" spans="1:7" ht="27.6" customHeight="1">
      <c r="A97" s="172" t="s">
        <v>168</v>
      </c>
      <c r="B97" s="172"/>
      <c r="C97" s="172"/>
      <c r="D97" s="173">
        <f>F6-D96</f>
        <v>448327.26666666672</v>
      </c>
      <c r="E97" s="173"/>
      <c r="F97" s="173"/>
      <c r="G97" s="8"/>
    </row>
    <row r="100" spans="1:7" ht="27.6" customHeight="1">
      <c r="G100" s="8"/>
    </row>
    <row r="102" spans="1:7" ht="27.6" customHeight="1">
      <c r="G102" s="8"/>
    </row>
    <row r="103" spans="1:7" ht="27.6" customHeight="1">
      <c r="G103" s="8"/>
    </row>
    <row r="104" spans="1:7" ht="27.6" customHeight="1">
      <c r="G104" s="9"/>
    </row>
  </sheetData>
  <mergeCells count="41">
    <mergeCell ref="A8:F8"/>
    <mergeCell ref="A1:F1"/>
    <mergeCell ref="A2:F2"/>
    <mergeCell ref="A6:C6"/>
    <mergeCell ref="D6:E6"/>
    <mergeCell ref="A7:F7"/>
    <mergeCell ref="A42:C42"/>
    <mergeCell ref="D42:E42"/>
    <mergeCell ref="A9:F9"/>
    <mergeCell ref="A12:C12"/>
    <mergeCell ref="D12:E12"/>
    <mergeCell ref="A13:F13"/>
    <mergeCell ref="B19:B21"/>
    <mergeCell ref="A25:C25"/>
    <mergeCell ref="D25:E25"/>
    <mergeCell ref="A26:F26"/>
    <mergeCell ref="A33:C33"/>
    <mergeCell ref="D33:E33"/>
    <mergeCell ref="A34:F34"/>
    <mergeCell ref="A82:F82"/>
    <mergeCell ref="A43:F43"/>
    <mergeCell ref="B56:B57"/>
    <mergeCell ref="B58:B60"/>
    <mergeCell ref="A65:C65"/>
    <mergeCell ref="D65:E65"/>
    <mergeCell ref="A66:F66"/>
    <mergeCell ref="A74:C74"/>
    <mergeCell ref="D74:E74"/>
    <mergeCell ref="A75:F75"/>
    <mergeCell ref="A81:C81"/>
    <mergeCell ref="D81:E81"/>
    <mergeCell ref="A96:C96"/>
    <mergeCell ref="D96:F96"/>
    <mergeCell ref="A97:C97"/>
    <mergeCell ref="D97:F97"/>
    <mergeCell ref="A88:C88"/>
    <mergeCell ref="D88:E88"/>
    <mergeCell ref="A89:F89"/>
    <mergeCell ref="A94:C94"/>
    <mergeCell ref="D94:E94"/>
    <mergeCell ref="A95:F95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C0ECB-1CE2-4C38-A89D-C8388AC7735D}">
  <dimension ref="A1:H98"/>
  <sheetViews>
    <sheetView zoomScale="85" zoomScaleNormal="85" workbookViewId="0">
      <selection activeCell="D6" sqref="D6"/>
    </sheetView>
  </sheetViews>
  <sheetFormatPr defaultColWidth="8.875" defaultRowHeight="16.5"/>
  <cols>
    <col min="1" max="1" width="8.875" style="156"/>
    <col min="2" max="2" width="32.25" style="156" customWidth="1"/>
    <col min="3" max="3" width="50.25" style="156" customWidth="1"/>
    <col min="4" max="4" width="16.25" style="156" customWidth="1"/>
    <col min="5" max="5" width="10.75" style="156" customWidth="1"/>
    <col min="6" max="6" width="26.75" style="156" customWidth="1"/>
    <col min="7" max="7" width="14.125" style="155" bestFit="1" customWidth="1"/>
    <col min="8" max="8" width="15.25" style="156" bestFit="1" customWidth="1"/>
    <col min="9" max="16384" width="8.875" style="156"/>
  </cols>
  <sheetData>
    <row r="1" spans="1:6" ht="27.6" customHeight="1">
      <c r="A1" s="240" t="s">
        <v>45</v>
      </c>
      <c r="B1" s="240"/>
      <c r="C1" s="240"/>
      <c r="D1" s="240"/>
      <c r="E1" s="240"/>
      <c r="F1" s="240"/>
    </row>
    <row r="2" spans="1:6" ht="27.6" customHeight="1">
      <c r="A2" s="245"/>
      <c r="B2" s="246"/>
      <c r="C2" s="246"/>
      <c r="D2" s="246"/>
      <c r="E2" s="246"/>
      <c r="F2" s="247"/>
    </row>
    <row r="3" spans="1:6" ht="27.6" customHeight="1">
      <c r="A3" s="230" t="s">
        <v>56</v>
      </c>
      <c r="B3" s="230"/>
      <c r="C3" s="230"/>
      <c r="D3" s="230"/>
      <c r="E3" s="230"/>
      <c r="F3" s="230"/>
    </row>
    <row r="4" spans="1:6" ht="27.6" customHeight="1">
      <c r="A4" s="122" t="s">
        <v>46</v>
      </c>
      <c r="B4" s="123" t="s">
        <v>47</v>
      </c>
      <c r="C4" s="123" t="s">
        <v>48</v>
      </c>
      <c r="D4" s="124" t="s">
        <v>49</v>
      </c>
      <c r="E4" s="124" t="s">
        <v>50</v>
      </c>
      <c r="F4" s="124" t="s">
        <v>51</v>
      </c>
    </row>
    <row r="5" spans="1:6" ht="27.6" customHeight="1">
      <c r="A5" s="110">
        <v>1</v>
      </c>
      <c r="B5" s="157" t="s">
        <v>53</v>
      </c>
      <c r="C5" s="158"/>
      <c r="D5" s="159">
        <v>248788</v>
      </c>
      <c r="E5" s="110">
        <v>1</v>
      </c>
      <c r="F5" s="129">
        <f>D5*E5</f>
        <v>248788</v>
      </c>
    </row>
    <row r="6" spans="1:6" ht="26.45" customHeight="1">
      <c r="A6" s="110">
        <v>2</v>
      </c>
      <c r="B6" s="160" t="s">
        <v>54</v>
      </c>
      <c r="C6" s="161" t="s">
        <v>218</v>
      </c>
      <c r="D6" s="162">
        <f>'Registration Fee'!Z92/30</f>
        <v>123500</v>
      </c>
      <c r="E6" s="117">
        <v>1</v>
      </c>
      <c r="F6" s="129">
        <f>D6*E6</f>
        <v>123500</v>
      </c>
    </row>
    <row r="7" spans="1:6" ht="27.6" customHeight="1">
      <c r="A7" s="231"/>
      <c r="B7" s="231"/>
      <c r="C7" s="231"/>
      <c r="D7" s="235" t="s">
        <v>166</v>
      </c>
      <c r="E7" s="236"/>
      <c r="F7" s="163">
        <f>D5+D6</f>
        <v>372288</v>
      </c>
    </row>
    <row r="8" spans="1:6" ht="27.6" customHeight="1">
      <c r="A8" s="237"/>
      <c r="B8" s="238"/>
      <c r="C8" s="238"/>
      <c r="D8" s="238"/>
      <c r="E8" s="238"/>
      <c r="F8" s="239"/>
    </row>
    <row r="9" spans="1:6" ht="27.6" customHeight="1">
      <c r="A9" s="222" t="s">
        <v>70</v>
      </c>
      <c r="B9" s="223"/>
      <c r="C9" s="223"/>
      <c r="D9" s="223"/>
      <c r="E9" s="223"/>
      <c r="F9" s="223"/>
    </row>
    <row r="10" spans="1:6" ht="27.6" customHeight="1">
      <c r="A10" s="122" t="s">
        <v>46</v>
      </c>
      <c r="B10" s="123" t="s">
        <v>47</v>
      </c>
      <c r="C10" s="123" t="s">
        <v>48</v>
      </c>
      <c r="D10" s="124" t="s">
        <v>49</v>
      </c>
      <c r="E10" s="124" t="s">
        <v>50</v>
      </c>
      <c r="F10" s="124" t="s">
        <v>51</v>
      </c>
    </row>
    <row r="11" spans="1:6" ht="27.6" customHeight="1">
      <c r="A11" s="125" t="s">
        <v>1</v>
      </c>
      <c r="B11" s="99" t="s">
        <v>55</v>
      </c>
      <c r="C11" s="126"/>
      <c r="D11" s="127">
        <f>2200000/30</f>
        <v>73333.333333333328</v>
      </c>
      <c r="E11" s="128">
        <v>1</v>
      </c>
      <c r="F11" s="129">
        <f>D11*E11</f>
        <v>73333.333333333328</v>
      </c>
    </row>
    <row r="12" spans="1:6" ht="27.6" customHeight="1">
      <c r="A12" s="219"/>
      <c r="B12" s="220"/>
      <c r="C12" s="221"/>
      <c r="D12" s="211" t="s">
        <v>165</v>
      </c>
      <c r="E12" s="211"/>
      <c r="F12" s="130">
        <f>SUM(F11:F11)</f>
        <v>73333.333333333328</v>
      </c>
    </row>
    <row r="13" spans="1:6" s="155" customFormat="1" ht="27.6" customHeight="1">
      <c r="A13" s="224" t="s">
        <v>71</v>
      </c>
      <c r="B13" s="225"/>
      <c r="C13" s="225"/>
      <c r="D13" s="225"/>
      <c r="E13" s="225"/>
      <c r="F13" s="226"/>
    </row>
    <row r="14" spans="1:6" s="155" customFormat="1" ht="27.6" customHeight="1">
      <c r="A14" s="122" t="s">
        <v>46</v>
      </c>
      <c r="B14" s="123" t="s">
        <v>47</v>
      </c>
      <c r="C14" s="123" t="s">
        <v>48</v>
      </c>
      <c r="D14" s="124" t="s">
        <v>49</v>
      </c>
      <c r="E14" s="124" t="s">
        <v>50</v>
      </c>
      <c r="F14" s="124" t="s">
        <v>51</v>
      </c>
    </row>
    <row r="15" spans="1:6" s="155" customFormat="1" ht="37.5" customHeight="1">
      <c r="A15" s="131" t="s">
        <v>3</v>
      </c>
      <c r="B15" s="132" t="s">
        <v>58</v>
      </c>
      <c r="C15" s="95" t="s">
        <v>172</v>
      </c>
      <c r="D15" s="107">
        <f>1000000/30</f>
        <v>33333.333333333336</v>
      </c>
      <c r="E15" s="108">
        <v>1</v>
      </c>
      <c r="F15" s="118">
        <f t="shared" ref="F15:F24" si="0">D15*E15</f>
        <v>33333.333333333336</v>
      </c>
    </row>
    <row r="16" spans="1:6" s="155" customFormat="1" ht="38.450000000000003" customHeight="1">
      <c r="A16" s="131" t="s">
        <v>75</v>
      </c>
      <c r="B16" s="99" t="s">
        <v>84</v>
      </c>
      <c r="C16" s="99" t="s">
        <v>206</v>
      </c>
      <c r="D16" s="109">
        <f>5000/30</f>
        <v>166.66666666666666</v>
      </c>
      <c r="E16" s="110">
        <v>17</v>
      </c>
      <c r="F16" s="111">
        <f t="shared" si="0"/>
        <v>2833.333333333333</v>
      </c>
    </row>
    <row r="17" spans="1:6" s="155" customFormat="1" ht="27.6" customHeight="1">
      <c r="A17" s="131" t="s">
        <v>76</v>
      </c>
      <c r="B17" s="112" t="s">
        <v>85</v>
      </c>
      <c r="C17" s="112" t="s">
        <v>176</v>
      </c>
      <c r="D17" s="113">
        <f>(85000*1.05)/30</f>
        <v>2975</v>
      </c>
      <c r="E17" s="114">
        <v>6</v>
      </c>
      <c r="F17" s="111">
        <f t="shared" si="0"/>
        <v>17850</v>
      </c>
    </row>
    <row r="18" spans="1:6" s="155" customFormat="1" ht="27.6" customHeight="1">
      <c r="A18" s="131" t="s">
        <v>77</v>
      </c>
      <c r="B18" s="112" t="s">
        <v>87</v>
      </c>
      <c r="C18" s="112"/>
      <c r="D18" s="113">
        <f>(12000*1.05)/30</f>
        <v>420</v>
      </c>
      <c r="E18" s="114">
        <v>1</v>
      </c>
      <c r="F18" s="115">
        <f t="shared" si="0"/>
        <v>420</v>
      </c>
    </row>
    <row r="19" spans="1:6" s="155" customFormat="1" ht="27.6" customHeight="1">
      <c r="A19" s="131" t="s">
        <v>78</v>
      </c>
      <c r="B19" s="191" t="s">
        <v>91</v>
      </c>
      <c r="C19" s="95" t="s">
        <v>89</v>
      </c>
      <c r="D19" s="116">
        <f>(180000*1.05)/30</f>
        <v>6300</v>
      </c>
      <c r="E19" s="117">
        <v>1</v>
      </c>
      <c r="F19" s="118">
        <f t="shared" si="0"/>
        <v>6300</v>
      </c>
    </row>
    <row r="20" spans="1:6" s="155" customFormat="1" ht="27.6" customHeight="1">
      <c r="A20" s="131" t="s">
        <v>79</v>
      </c>
      <c r="B20" s="191"/>
      <c r="C20" s="95" t="s">
        <v>88</v>
      </c>
      <c r="D20" s="116">
        <f>(120000*1.05)/30</f>
        <v>4200</v>
      </c>
      <c r="E20" s="117">
        <v>5</v>
      </c>
      <c r="F20" s="118">
        <f t="shared" si="0"/>
        <v>21000</v>
      </c>
    </row>
    <row r="21" spans="1:6" s="155" customFormat="1" ht="27.6" customHeight="1">
      <c r="A21" s="131" t="s">
        <v>80</v>
      </c>
      <c r="B21" s="192"/>
      <c r="C21" s="104" t="s">
        <v>90</v>
      </c>
      <c r="D21" s="119">
        <f>(15000*1.05)/30</f>
        <v>525</v>
      </c>
      <c r="E21" s="120">
        <v>10</v>
      </c>
      <c r="F21" s="121">
        <f t="shared" si="0"/>
        <v>5250</v>
      </c>
    </row>
    <row r="22" spans="1:6" s="155" customFormat="1" ht="27.6" customHeight="1">
      <c r="A22" s="131" t="s">
        <v>81</v>
      </c>
      <c r="B22" s="95" t="s">
        <v>92</v>
      </c>
      <c r="C22" s="95" t="s">
        <v>93</v>
      </c>
      <c r="D22" s="116">
        <f>(23000*1.05)/30</f>
        <v>805</v>
      </c>
      <c r="E22" s="117">
        <v>1</v>
      </c>
      <c r="F22" s="118">
        <f t="shared" si="0"/>
        <v>805</v>
      </c>
    </row>
    <row r="23" spans="1:6" s="155" customFormat="1" ht="27.6" customHeight="1">
      <c r="A23" s="131" t="s">
        <v>82</v>
      </c>
      <c r="B23" s="95" t="s">
        <v>203</v>
      </c>
      <c r="C23" s="95" t="s">
        <v>204</v>
      </c>
      <c r="D23" s="116">
        <v>1000</v>
      </c>
      <c r="E23" s="117">
        <v>5</v>
      </c>
      <c r="F23" s="118">
        <f t="shared" si="0"/>
        <v>5000</v>
      </c>
    </row>
    <row r="24" spans="1:6" s="155" customFormat="1" ht="27.6" customHeight="1">
      <c r="A24" s="131" t="s">
        <v>83</v>
      </c>
      <c r="B24" s="95" t="s">
        <v>94</v>
      </c>
      <c r="C24" s="95" t="s">
        <v>95</v>
      </c>
      <c r="D24" s="116">
        <f>(500*1.05)/30</f>
        <v>17.5</v>
      </c>
      <c r="E24" s="117">
        <v>8</v>
      </c>
      <c r="F24" s="118">
        <f t="shared" si="0"/>
        <v>140</v>
      </c>
    </row>
    <row r="25" spans="1:6" s="155" customFormat="1" ht="27.6" customHeight="1">
      <c r="A25" s="227"/>
      <c r="B25" s="228"/>
      <c r="C25" s="229"/>
      <c r="D25" s="211" t="s">
        <v>165</v>
      </c>
      <c r="E25" s="211"/>
      <c r="F25" s="133">
        <f>SUM(F15:F24)</f>
        <v>92931.666666666672</v>
      </c>
    </row>
    <row r="26" spans="1:6" s="155" customFormat="1" ht="27.6" customHeight="1">
      <c r="A26" s="212" t="s">
        <v>72</v>
      </c>
      <c r="B26" s="212"/>
      <c r="C26" s="212"/>
      <c r="D26" s="212"/>
      <c r="E26" s="212"/>
      <c r="F26" s="212"/>
    </row>
    <row r="27" spans="1:6" s="155" customFormat="1" ht="27.6" customHeight="1">
      <c r="A27" s="122" t="s">
        <v>46</v>
      </c>
      <c r="B27" s="123" t="s">
        <v>47</v>
      </c>
      <c r="C27" s="123" t="s">
        <v>48</v>
      </c>
      <c r="D27" s="124" t="s">
        <v>49</v>
      </c>
      <c r="E27" s="124" t="s">
        <v>50</v>
      </c>
      <c r="F27" s="124" t="s">
        <v>51</v>
      </c>
    </row>
    <row r="28" spans="1:6" s="155" customFormat="1" ht="27.6" customHeight="1">
      <c r="A28" s="134" t="s">
        <v>4</v>
      </c>
      <c r="B28" s="135" t="s">
        <v>59</v>
      </c>
      <c r="C28" s="136" t="s">
        <v>181</v>
      </c>
      <c r="D28" s="127">
        <f>220/30</f>
        <v>7.333333333333333</v>
      </c>
      <c r="E28" s="128">
        <v>500</v>
      </c>
      <c r="F28" s="137">
        <f>SUM(D28*E28)</f>
        <v>3666.6666666666665</v>
      </c>
    </row>
    <row r="29" spans="1:6" s="155" customFormat="1" ht="27.6" customHeight="1">
      <c r="A29" s="134" t="s">
        <v>5</v>
      </c>
      <c r="B29" s="135" t="s">
        <v>60</v>
      </c>
      <c r="C29" s="136" t="s">
        <v>183</v>
      </c>
      <c r="D29" s="127">
        <f>260/30</f>
        <v>8.6666666666666661</v>
      </c>
      <c r="E29" s="128">
        <f>350*4</f>
        <v>1400</v>
      </c>
      <c r="F29" s="137">
        <f t="shared" ref="F29:F31" si="1">SUM(D29*E29)</f>
        <v>12133.333333333332</v>
      </c>
    </row>
    <row r="30" spans="1:6" ht="38.25" customHeight="1">
      <c r="A30" s="134" t="s">
        <v>6</v>
      </c>
      <c r="B30" s="135" t="s">
        <v>61</v>
      </c>
      <c r="C30" s="136" t="s">
        <v>182</v>
      </c>
      <c r="D30" s="127">
        <f>285/30</f>
        <v>9.5</v>
      </c>
      <c r="E30" s="128">
        <f>1200+150</f>
        <v>1350</v>
      </c>
      <c r="F30" s="137">
        <f t="shared" si="1"/>
        <v>12825</v>
      </c>
    </row>
    <row r="31" spans="1:6" ht="27.6" customHeight="1">
      <c r="A31" s="134" t="s">
        <v>7</v>
      </c>
      <c r="B31" s="135" t="s">
        <v>8</v>
      </c>
      <c r="C31" s="136" t="s">
        <v>66</v>
      </c>
      <c r="D31" s="127">
        <f>600/30</f>
        <v>20</v>
      </c>
      <c r="E31" s="128">
        <v>350</v>
      </c>
      <c r="F31" s="137">
        <f t="shared" si="1"/>
        <v>7000</v>
      </c>
    </row>
    <row r="32" spans="1:6" ht="27.6" customHeight="1">
      <c r="A32" s="134" t="s">
        <v>9</v>
      </c>
      <c r="B32" s="135" t="s">
        <v>62</v>
      </c>
      <c r="C32" s="136" t="s">
        <v>67</v>
      </c>
      <c r="D32" s="127">
        <f>(16000*1.1)/30</f>
        <v>586.66666666666663</v>
      </c>
      <c r="E32" s="128">
        <v>20</v>
      </c>
      <c r="F32" s="137">
        <f>SUM(D32*E32)</f>
        <v>11733.333333333332</v>
      </c>
    </row>
    <row r="33" spans="1:7" ht="27.6" customHeight="1">
      <c r="A33" s="219"/>
      <c r="B33" s="209"/>
      <c r="C33" s="221"/>
      <c r="D33" s="211" t="s">
        <v>165</v>
      </c>
      <c r="E33" s="211"/>
      <c r="F33" s="138">
        <f>SUM(F28:F32)</f>
        <v>47358.333333333328</v>
      </c>
    </row>
    <row r="34" spans="1:7" ht="28.9" customHeight="1">
      <c r="A34" s="222" t="s">
        <v>73</v>
      </c>
      <c r="B34" s="222"/>
      <c r="C34" s="222"/>
      <c r="D34" s="222"/>
      <c r="E34" s="222"/>
      <c r="F34" s="222"/>
    </row>
    <row r="35" spans="1:7" ht="28.9" customHeight="1">
      <c r="A35" s="139" t="s">
        <v>46</v>
      </c>
      <c r="B35" s="140" t="s">
        <v>47</v>
      </c>
      <c r="C35" s="140" t="s">
        <v>48</v>
      </c>
      <c r="D35" s="124" t="s">
        <v>49</v>
      </c>
      <c r="E35" s="124" t="s">
        <v>50</v>
      </c>
      <c r="F35" s="124" t="s">
        <v>51</v>
      </c>
    </row>
    <row r="36" spans="1:7" ht="27.6" customHeight="1">
      <c r="A36" s="141" t="s">
        <v>74</v>
      </c>
      <c r="B36" s="95" t="s">
        <v>68</v>
      </c>
      <c r="C36" s="95"/>
      <c r="D36" s="101">
        <f>50000/30</f>
        <v>1666.6666666666667</v>
      </c>
      <c r="E36" s="102">
        <v>4</v>
      </c>
      <c r="F36" s="103">
        <f t="shared" ref="F36:F42" si="2">D36*E36</f>
        <v>6666.666666666667</v>
      </c>
    </row>
    <row r="37" spans="1:7" ht="39.75" customHeight="1">
      <c r="A37" s="141" t="s">
        <v>10</v>
      </c>
      <c r="B37" s="100" t="s">
        <v>195</v>
      </c>
      <c r="C37" s="95" t="s">
        <v>196</v>
      </c>
      <c r="D37" s="101">
        <f>(3000*1.05)/30</f>
        <v>105</v>
      </c>
      <c r="E37" s="102">
        <v>62</v>
      </c>
      <c r="F37" s="103">
        <f t="shared" si="2"/>
        <v>6510</v>
      </c>
    </row>
    <row r="38" spans="1:7" ht="38.450000000000003" customHeight="1">
      <c r="A38" s="141" t="s">
        <v>42</v>
      </c>
      <c r="B38" s="100" t="s">
        <v>197</v>
      </c>
      <c r="C38" s="95" t="s">
        <v>198</v>
      </c>
      <c r="D38" s="101">
        <f>(6200*1.15)/30</f>
        <v>237.66666666666663</v>
      </c>
      <c r="E38" s="102">
        <v>42</v>
      </c>
      <c r="F38" s="103">
        <f t="shared" si="2"/>
        <v>9981.9999999999982</v>
      </c>
      <c r="G38" s="171"/>
    </row>
    <row r="39" spans="1:7" ht="38.450000000000003" customHeight="1">
      <c r="A39" s="141" t="s">
        <v>43</v>
      </c>
      <c r="B39" s="104" t="s">
        <v>199</v>
      </c>
      <c r="C39" s="104" t="s">
        <v>194</v>
      </c>
      <c r="D39" s="105">
        <v>700</v>
      </c>
      <c r="E39" s="106">
        <v>1</v>
      </c>
      <c r="F39" s="103">
        <f t="shared" si="2"/>
        <v>700</v>
      </c>
      <c r="G39" s="171"/>
    </row>
    <row r="40" spans="1:7" ht="61.7" customHeight="1">
      <c r="A40" s="141" t="s">
        <v>11</v>
      </c>
      <c r="B40" s="95" t="s">
        <v>200</v>
      </c>
      <c r="C40" s="95" t="s">
        <v>216</v>
      </c>
      <c r="D40" s="107">
        <v>250</v>
      </c>
      <c r="E40" s="108">
        <v>28</v>
      </c>
      <c r="F40" s="103">
        <f t="shared" si="2"/>
        <v>7000</v>
      </c>
      <c r="G40" s="171"/>
    </row>
    <row r="41" spans="1:7" ht="38.65" customHeight="1">
      <c r="A41" s="141" t="s">
        <v>201</v>
      </c>
      <c r="B41" s="95" t="s">
        <v>69</v>
      </c>
      <c r="C41" s="95"/>
      <c r="D41" s="96">
        <f>(D6*0.03)</f>
        <v>3705</v>
      </c>
      <c r="E41" s="97">
        <v>1</v>
      </c>
      <c r="F41" s="98">
        <f t="shared" si="2"/>
        <v>3705</v>
      </c>
    </row>
    <row r="42" spans="1:7" ht="27.6" customHeight="1">
      <c r="A42" s="141" t="s">
        <v>202</v>
      </c>
      <c r="B42" s="95" t="s">
        <v>44</v>
      </c>
      <c r="C42" s="95" t="s">
        <v>52</v>
      </c>
      <c r="D42" s="96">
        <v>25000</v>
      </c>
      <c r="E42" s="97">
        <v>1</v>
      </c>
      <c r="F42" s="98">
        <f t="shared" si="2"/>
        <v>25000</v>
      </c>
    </row>
    <row r="43" spans="1:7" ht="27.6" customHeight="1">
      <c r="A43" s="208"/>
      <c r="B43" s="209"/>
      <c r="C43" s="210"/>
      <c r="D43" s="211" t="s">
        <v>165</v>
      </c>
      <c r="E43" s="211"/>
      <c r="F43" s="142">
        <f>SUM(F36:F42)</f>
        <v>59563.666666666664</v>
      </c>
    </row>
    <row r="44" spans="1:7" ht="27.6" customHeight="1">
      <c r="A44" s="214" t="s">
        <v>96</v>
      </c>
      <c r="B44" s="215"/>
      <c r="C44" s="215"/>
      <c r="D44" s="215"/>
      <c r="E44" s="215"/>
      <c r="F44" s="216"/>
    </row>
    <row r="45" spans="1:7" ht="43.15" customHeight="1">
      <c r="A45" s="122" t="s">
        <v>46</v>
      </c>
      <c r="B45" s="123" t="s">
        <v>47</v>
      </c>
      <c r="C45" s="123" t="s">
        <v>48</v>
      </c>
      <c r="D45" s="124" t="s">
        <v>49</v>
      </c>
      <c r="E45" s="124" t="s">
        <v>50</v>
      </c>
      <c r="F45" s="124" t="s">
        <v>51</v>
      </c>
    </row>
    <row r="46" spans="1:7" ht="27.6" customHeight="1">
      <c r="A46" s="125" t="s">
        <v>144</v>
      </c>
      <c r="B46" s="99" t="s">
        <v>98</v>
      </c>
      <c r="C46" s="99"/>
      <c r="D46" s="109">
        <f>(50000*1.05)/30</f>
        <v>1750</v>
      </c>
      <c r="E46" s="110">
        <v>1</v>
      </c>
      <c r="F46" s="111">
        <f>D46*E46</f>
        <v>1750</v>
      </c>
    </row>
    <row r="47" spans="1:7" ht="38.450000000000003" customHeight="1">
      <c r="A47" s="125" t="s">
        <v>145</v>
      </c>
      <c r="B47" s="99" t="s">
        <v>97</v>
      </c>
      <c r="C47" s="99"/>
      <c r="D47" s="109">
        <f>(35000*1.05)/30</f>
        <v>1225</v>
      </c>
      <c r="E47" s="110">
        <v>1</v>
      </c>
      <c r="F47" s="111">
        <f t="shared" ref="F47:F62" si="3">E47*D47</f>
        <v>1225</v>
      </c>
    </row>
    <row r="48" spans="1:7" ht="27.6" customHeight="1">
      <c r="A48" s="125" t="s">
        <v>12</v>
      </c>
      <c r="B48" s="99" t="s">
        <v>99</v>
      </c>
      <c r="C48" s="99"/>
      <c r="D48" s="109">
        <f>(30000*1.05)/30</f>
        <v>1050</v>
      </c>
      <c r="E48" s="110">
        <v>1</v>
      </c>
      <c r="F48" s="111">
        <f t="shared" si="3"/>
        <v>1050</v>
      </c>
    </row>
    <row r="49" spans="1:8" ht="27.6" customHeight="1">
      <c r="A49" s="125" t="s">
        <v>13</v>
      </c>
      <c r="B49" s="99" t="s">
        <v>102</v>
      </c>
      <c r="C49" s="99"/>
      <c r="D49" s="109">
        <f>(30000*1.05)/30</f>
        <v>1050</v>
      </c>
      <c r="E49" s="110">
        <v>1</v>
      </c>
      <c r="F49" s="111">
        <f t="shared" si="3"/>
        <v>1050</v>
      </c>
    </row>
    <row r="50" spans="1:8" s="155" customFormat="1" ht="37.5" customHeight="1">
      <c r="A50" s="125" t="s">
        <v>14</v>
      </c>
      <c r="B50" s="99" t="s">
        <v>174</v>
      </c>
      <c r="C50" s="99" t="s">
        <v>104</v>
      </c>
      <c r="D50" s="109">
        <f>(50000*1.05)/30</f>
        <v>1750</v>
      </c>
      <c r="E50" s="110">
        <v>1</v>
      </c>
      <c r="F50" s="111">
        <f t="shared" si="3"/>
        <v>1750</v>
      </c>
      <c r="H50" s="156"/>
    </row>
    <row r="51" spans="1:8" s="155" customFormat="1" ht="27.6" customHeight="1">
      <c r="A51" s="125" t="s">
        <v>15</v>
      </c>
      <c r="B51" s="99" t="s">
        <v>105</v>
      </c>
      <c r="C51" s="99"/>
      <c r="D51" s="109">
        <f>(2500*1.05)/30</f>
        <v>87.5</v>
      </c>
      <c r="E51" s="110">
        <v>4</v>
      </c>
      <c r="F51" s="111">
        <f t="shared" si="3"/>
        <v>350</v>
      </c>
      <c r="H51" s="156"/>
    </row>
    <row r="52" spans="1:8" s="155" customFormat="1" ht="27.6" customHeight="1">
      <c r="A52" s="125" t="s">
        <v>16</v>
      </c>
      <c r="B52" s="99" t="s">
        <v>107</v>
      </c>
      <c r="C52" s="99"/>
      <c r="D52" s="109">
        <f>(1000*1.05)/30</f>
        <v>35</v>
      </c>
      <c r="E52" s="110">
        <v>20</v>
      </c>
      <c r="F52" s="111">
        <f t="shared" si="3"/>
        <v>700</v>
      </c>
      <c r="H52" s="156"/>
    </row>
    <row r="53" spans="1:8" s="155" customFormat="1" ht="27.6" customHeight="1">
      <c r="A53" s="125" t="s">
        <v>17</v>
      </c>
      <c r="B53" s="112" t="s">
        <v>108</v>
      </c>
      <c r="C53" s="112"/>
      <c r="D53" s="113">
        <f>(2000*1.05)/30</f>
        <v>70</v>
      </c>
      <c r="E53" s="114">
        <v>20</v>
      </c>
      <c r="F53" s="115">
        <f t="shared" si="3"/>
        <v>1400</v>
      </c>
      <c r="H53" s="156"/>
    </row>
    <row r="54" spans="1:8" s="155" customFormat="1" ht="27.6" customHeight="1">
      <c r="A54" s="125" t="s">
        <v>18</v>
      </c>
      <c r="B54" s="191" t="s">
        <v>211</v>
      </c>
      <c r="C54" s="143" t="s">
        <v>109</v>
      </c>
      <c r="D54" s="116">
        <f>(30000*1.05)/30</f>
        <v>1050</v>
      </c>
      <c r="E54" s="117">
        <v>1</v>
      </c>
      <c r="F54" s="118">
        <f t="shared" si="3"/>
        <v>1050</v>
      </c>
      <c r="H54" s="156"/>
    </row>
    <row r="55" spans="1:8" s="155" customFormat="1" ht="27.6" customHeight="1">
      <c r="A55" s="125" t="s">
        <v>146</v>
      </c>
      <c r="B55" s="191"/>
      <c r="C55" s="95" t="s">
        <v>110</v>
      </c>
      <c r="D55" s="116">
        <f>(30000*1.05)/30</f>
        <v>1050</v>
      </c>
      <c r="E55" s="117">
        <v>1</v>
      </c>
      <c r="F55" s="118">
        <f>E55*D55</f>
        <v>1050</v>
      </c>
      <c r="H55" s="156"/>
    </row>
    <row r="56" spans="1:8" s="155" customFormat="1" ht="27.6" customHeight="1">
      <c r="A56" s="125" t="s">
        <v>147</v>
      </c>
      <c r="B56" s="217" t="s">
        <v>111</v>
      </c>
      <c r="C56" s="144" t="s">
        <v>175</v>
      </c>
      <c r="D56" s="145">
        <f>(800*1.05)/30</f>
        <v>28</v>
      </c>
      <c r="E56" s="146">
        <v>140</v>
      </c>
      <c r="F56" s="147">
        <f t="shared" si="3"/>
        <v>3920</v>
      </c>
      <c r="H56" s="156"/>
    </row>
    <row r="57" spans="1:8" s="155" customFormat="1" ht="27.6" customHeight="1">
      <c r="A57" s="125" t="s">
        <v>148</v>
      </c>
      <c r="B57" s="218"/>
      <c r="C57" s="99" t="s">
        <v>113</v>
      </c>
      <c r="D57" s="109">
        <f>(60*1.05)/30</f>
        <v>2.1</v>
      </c>
      <c r="E57" s="110">
        <v>140</v>
      </c>
      <c r="F57" s="111">
        <f t="shared" si="3"/>
        <v>294</v>
      </c>
      <c r="H57" s="156"/>
    </row>
    <row r="58" spans="1:8" s="155" customFormat="1" ht="27.6" customHeight="1">
      <c r="A58" s="125" t="s">
        <v>149</v>
      </c>
      <c r="B58" s="218"/>
      <c r="C58" s="99" t="s">
        <v>114</v>
      </c>
      <c r="D58" s="109">
        <f>(500*1.05)/30</f>
        <v>17.5</v>
      </c>
      <c r="E58" s="110">
        <v>140</v>
      </c>
      <c r="F58" s="111">
        <f t="shared" si="3"/>
        <v>2450</v>
      </c>
      <c r="H58" s="156"/>
    </row>
    <row r="59" spans="1:8" s="155" customFormat="1" ht="26.45" customHeight="1">
      <c r="A59" s="125" t="s">
        <v>150</v>
      </c>
      <c r="B59" s="99" t="s">
        <v>115</v>
      </c>
      <c r="C59" s="99" t="s">
        <v>116</v>
      </c>
      <c r="D59" s="109">
        <f>(7000*1.05)/30</f>
        <v>245</v>
      </c>
      <c r="E59" s="110">
        <v>20</v>
      </c>
      <c r="F59" s="111">
        <f t="shared" si="3"/>
        <v>4900</v>
      </c>
      <c r="H59" s="156"/>
    </row>
    <row r="60" spans="1:8" s="155" customFormat="1" ht="27.6" customHeight="1">
      <c r="A60" s="125" t="s">
        <v>151</v>
      </c>
      <c r="B60" s="99" t="s">
        <v>117</v>
      </c>
      <c r="C60" s="99"/>
      <c r="D60" s="109">
        <f>(30000*1.05)/30</f>
        <v>1050</v>
      </c>
      <c r="E60" s="110">
        <v>1</v>
      </c>
      <c r="F60" s="111">
        <f t="shared" si="3"/>
        <v>1050</v>
      </c>
      <c r="H60" s="156"/>
    </row>
    <row r="61" spans="1:8" s="155" customFormat="1" ht="27.6" customHeight="1">
      <c r="A61" s="125" t="s">
        <v>152</v>
      </c>
      <c r="B61" s="99" t="s">
        <v>118</v>
      </c>
      <c r="C61" s="99"/>
      <c r="D61" s="109">
        <f>(40000*1.05)/30</f>
        <v>1400</v>
      </c>
      <c r="E61" s="110">
        <v>1</v>
      </c>
      <c r="F61" s="111">
        <f t="shared" si="3"/>
        <v>1400</v>
      </c>
      <c r="H61" s="156"/>
    </row>
    <row r="62" spans="1:8" s="155" customFormat="1" ht="27.6" customHeight="1">
      <c r="A62" s="125" t="s">
        <v>153</v>
      </c>
      <c r="B62" s="99" t="s">
        <v>119</v>
      </c>
      <c r="C62" s="99"/>
      <c r="D62" s="127">
        <f>(50000*1.05)/30</f>
        <v>1750</v>
      </c>
      <c r="E62" s="128">
        <v>1</v>
      </c>
      <c r="F62" s="137">
        <f t="shared" si="3"/>
        <v>1750</v>
      </c>
      <c r="H62" s="156"/>
    </row>
    <row r="63" spans="1:8" s="155" customFormat="1" ht="27.6" customHeight="1">
      <c r="A63" s="219"/>
      <c r="B63" s="220"/>
      <c r="C63" s="221"/>
      <c r="D63" s="211" t="s">
        <v>165</v>
      </c>
      <c r="E63" s="211"/>
      <c r="F63" s="148">
        <f>SUM(F46:F62)</f>
        <v>27139</v>
      </c>
      <c r="H63" s="156"/>
    </row>
    <row r="64" spans="1:8" s="155" customFormat="1" ht="27.6" customHeight="1">
      <c r="A64" s="212" t="s">
        <v>157</v>
      </c>
      <c r="B64" s="212"/>
      <c r="C64" s="212"/>
      <c r="D64" s="212"/>
      <c r="E64" s="212"/>
      <c r="F64" s="212"/>
      <c r="H64" s="156"/>
    </row>
    <row r="65" spans="1:8" s="155" customFormat="1" ht="27.6" customHeight="1">
      <c r="A65" s="122" t="s">
        <v>46</v>
      </c>
      <c r="B65" s="123" t="s">
        <v>47</v>
      </c>
      <c r="C65" s="123" t="s">
        <v>48</v>
      </c>
      <c r="D65" s="124" t="s">
        <v>49</v>
      </c>
      <c r="E65" s="124" t="s">
        <v>50</v>
      </c>
      <c r="F65" s="124" t="s">
        <v>51</v>
      </c>
      <c r="H65" s="156"/>
    </row>
    <row r="66" spans="1:8" ht="31.7" customHeight="1">
      <c r="A66" s="149" t="s">
        <v>19</v>
      </c>
      <c r="B66" s="99" t="s">
        <v>120</v>
      </c>
      <c r="C66" s="99" t="s">
        <v>121</v>
      </c>
      <c r="D66" s="109">
        <f>70/30</f>
        <v>2.3333333333333335</v>
      </c>
      <c r="E66" s="110">
        <v>400</v>
      </c>
      <c r="F66" s="111">
        <f t="shared" ref="F66:F68" si="4">D66*E66</f>
        <v>933.33333333333337</v>
      </c>
    </row>
    <row r="67" spans="1:8" ht="27.6" customHeight="1">
      <c r="A67" s="149" t="s">
        <v>158</v>
      </c>
      <c r="B67" s="99" t="s">
        <v>123</v>
      </c>
      <c r="C67" s="99" t="s">
        <v>124</v>
      </c>
      <c r="D67" s="109">
        <f>53/30</f>
        <v>1.7666666666666666</v>
      </c>
      <c r="E67" s="110">
        <v>70</v>
      </c>
      <c r="F67" s="111">
        <f t="shared" si="4"/>
        <v>123.66666666666666</v>
      </c>
      <c r="G67" s="166"/>
    </row>
    <row r="68" spans="1:8" ht="27.6" customHeight="1">
      <c r="A68" s="149" t="s">
        <v>20</v>
      </c>
      <c r="B68" s="150" t="s">
        <v>125</v>
      </c>
      <c r="C68" s="150"/>
      <c r="D68" s="127">
        <f>(20*1.05)/30</f>
        <v>0.7</v>
      </c>
      <c r="E68" s="128">
        <v>400</v>
      </c>
      <c r="F68" s="137">
        <f t="shared" si="4"/>
        <v>280</v>
      </c>
    </row>
    <row r="69" spans="1:8" ht="31.15" customHeight="1">
      <c r="A69" s="213"/>
      <c r="B69" s="213"/>
      <c r="C69" s="213"/>
      <c r="D69" s="211" t="s">
        <v>165</v>
      </c>
      <c r="E69" s="211"/>
      <c r="F69" s="148">
        <f>SUM(F66:F68)</f>
        <v>1337</v>
      </c>
    </row>
    <row r="70" spans="1:8" ht="31.15" customHeight="1">
      <c r="A70" s="214" t="s">
        <v>159</v>
      </c>
      <c r="B70" s="215"/>
      <c r="C70" s="215"/>
      <c r="D70" s="215"/>
      <c r="E70" s="215"/>
      <c r="F70" s="216"/>
    </row>
    <row r="71" spans="1:8" ht="27.6" customHeight="1">
      <c r="A71" s="122" t="s">
        <v>46</v>
      </c>
      <c r="B71" s="123" t="s">
        <v>47</v>
      </c>
      <c r="C71" s="123" t="s">
        <v>48</v>
      </c>
      <c r="D71" s="124" t="s">
        <v>49</v>
      </c>
      <c r="E71" s="124" t="s">
        <v>50</v>
      </c>
      <c r="F71" s="124" t="s">
        <v>51</v>
      </c>
    </row>
    <row r="72" spans="1:8" ht="27.6" customHeight="1">
      <c r="A72" s="125" t="s">
        <v>160</v>
      </c>
      <c r="B72" s="112" t="s">
        <v>128</v>
      </c>
      <c r="C72" s="99" t="s">
        <v>205</v>
      </c>
      <c r="D72" s="127">
        <f>(25000*1.05)/30</f>
        <v>875</v>
      </c>
      <c r="E72" s="128">
        <v>32</v>
      </c>
      <c r="F72" s="137">
        <f>E72*D72</f>
        <v>28000</v>
      </c>
    </row>
    <row r="73" spans="1:8" ht="27.6" customHeight="1">
      <c r="A73" s="125" t="s">
        <v>127</v>
      </c>
      <c r="B73" s="99" t="s">
        <v>129</v>
      </c>
      <c r="C73" s="99"/>
      <c r="D73" s="109">
        <f>(15000*1.05)/30</f>
        <v>525</v>
      </c>
      <c r="E73" s="110">
        <v>5</v>
      </c>
      <c r="F73" s="111">
        <f>+E73*D73</f>
        <v>2625</v>
      </c>
    </row>
    <row r="74" spans="1:8" ht="27.6" customHeight="1">
      <c r="A74" s="125" t="s">
        <v>23</v>
      </c>
      <c r="B74" s="151" t="s">
        <v>131</v>
      </c>
      <c r="C74" s="99" t="s">
        <v>217</v>
      </c>
      <c r="D74" s="109">
        <f>(50000*1.05)/30</f>
        <v>1750</v>
      </c>
      <c r="E74" s="110">
        <v>2</v>
      </c>
      <c r="F74" s="111">
        <f>D74*E74</f>
        <v>3500</v>
      </c>
    </row>
    <row r="75" spans="1:8" ht="27.6" customHeight="1">
      <c r="A75" s="125" t="s">
        <v>24</v>
      </c>
      <c r="B75" s="151" t="s">
        <v>132</v>
      </c>
      <c r="C75" s="99" t="s">
        <v>26</v>
      </c>
      <c r="D75" s="109">
        <f>(30000*1.05)/30</f>
        <v>1050</v>
      </c>
      <c r="E75" s="110">
        <v>2</v>
      </c>
      <c r="F75" s="111">
        <f>D75*E75</f>
        <v>2100</v>
      </c>
    </row>
    <row r="76" spans="1:8" ht="29.45" customHeight="1">
      <c r="A76" s="219"/>
      <c r="B76" s="220"/>
      <c r="C76" s="221"/>
      <c r="D76" s="211" t="s">
        <v>165</v>
      </c>
      <c r="E76" s="211"/>
      <c r="F76" s="148">
        <f>SUM(F72:F75)</f>
        <v>36225</v>
      </c>
    </row>
    <row r="77" spans="1:8" ht="26.45" customHeight="1">
      <c r="A77" s="212" t="s">
        <v>161</v>
      </c>
      <c r="B77" s="212"/>
      <c r="C77" s="212"/>
      <c r="D77" s="212"/>
      <c r="E77" s="212"/>
      <c r="F77" s="212"/>
    </row>
    <row r="78" spans="1:8" ht="26.45" customHeight="1">
      <c r="A78" s="139" t="s">
        <v>46</v>
      </c>
      <c r="B78" s="140" t="s">
        <v>47</v>
      </c>
      <c r="C78" s="140" t="s">
        <v>48</v>
      </c>
      <c r="D78" s="124" t="s">
        <v>49</v>
      </c>
      <c r="E78" s="124" t="s">
        <v>50</v>
      </c>
      <c r="F78" s="124" t="s">
        <v>51</v>
      </c>
    </row>
    <row r="79" spans="1:8" ht="27.6" customHeight="1">
      <c r="A79" s="131" t="s">
        <v>25</v>
      </c>
      <c r="B79" s="95" t="s">
        <v>133</v>
      </c>
      <c r="C79" s="95" t="s">
        <v>134</v>
      </c>
      <c r="D79" s="152">
        <f>18000/30</f>
        <v>600</v>
      </c>
      <c r="E79" s="117">
        <v>1</v>
      </c>
      <c r="F79" s="118">
        <f>+E79*D79</f>
        <v>600</v>
      </c>
    </row>
    <row r="80" spans="1:8" ht="27.6" customHeight="1">
      <c r="A80" s="131" t="s">
        <v>162</v>
      </c>
      <c r="B80" s="95" t="s">
        <v>136</v>
      </c>
      <c r="C80" s="95"/>
      <c r="D80" s="153">
        <f>(630000*1.05)/30</f>
        <v>22050</v>
      </c>
      <c r="E80" s="125">
        <v>1</v>
      </c>
      <c r="F80" s="111">
        <f>D80*E80</f>
        <v>22050</v>
      </c>
    </row>
    <row r="81" spans="1:8" s="155" customFormat="1" ht="27.6" customHeight="1">
      <c r="A81" s="131" t="s">
        <v>163</v>
      </c>
      <c r="B81" s="95" t="s">
        <v>135</v>
      </c>
      <c r="C81" s="95"/>
      <c r="D81" s="152">
        <f>60000/30</f>
        <v>2000</v>
      </c>
      <c r="E81" s="117">
        <v>1</v>
      </c>
      <c r="F81" s="118">
        <f>+E81*D81</f>
        <v>2000</v>
      </c>
      <c r="H81" s="156"/>
    </row>
    <row r="82" spans="1:8" s="155" customFormat="1" ht="27.6" customHeight="1">
      <c r="A82" s="208"/>
      <c r="B82" s="209"/>
      <c r="C82" s="210"/>
      <c r="D82" s="211" t="s">
        <v>165</v>
      </c>
      <c r="E82" s="211"/>
      <c r="F82" s="154">
        <f>SUM(F79:F81)</f>
        <v>24650</v>
      </c>
      <c r="H82" s="156"/>
    </row>
    <row r="83" spans="1:8" s="155" customFormat="1" ht="27.6" customHeight="1">
      <c r="A83" s="212" t="s">
        <v>164</v>
      </c>
      <c r="B83" s="212"/>
      <c r="C83" s="212"/>
      <c r="D83" s="212"/>
      <c r="E83" s="212"/>
      <c r="F83" s="212"/>
      <c r="H83" s="156"/>
    </row>
    <row r="84" spans="1:8" s="155" customFormat="1" ht="27.6" customHeight="1">
      <c r="A84" s="122" t="s">
        <v>46</v>
      </c>
      <c r="B84" s="123" t="s">
        <v>47</v>
      </c>
      <c r="C84" s="123" t="s">
        <v>48</v>
      </c>
      <c r="D84" s="124" t="s">
        <v>49</v>
      </c>
      <c r="E84" s="124" t="s">
        <v>50</v>
      </c>
      <c r="F84" s="124" t="s">
        <v>51</v>
      </c>
      <c r="H84" s="156"/>
    </row>
    <row r="85" spans="1:8" s="155" customFormat="1" ht="27.6" customHeight="1">
      <c r="A85" s="125" t="s">
        <v>27</v>
      </c>
      <c r="B85" s="99" t="s">
        <v>138</v>
      </c>
      <c r="C85" s="99" t="s">
        <v>139</v>
      </c>
      <c r="D85" s="109">
        <f>(100000*1.05)/30</f>
        <v>3500</v>
      </c>
      <c r="E85" s="110">
        <v>1</v>
      </c>
      <c r="F85" s="111">
        <f>D85*E85</f>
        <v>3500</v>
      </c>
      <c r="H85" s="156"/>
    </row>
    <row r="86" spans="1:8" s="155" customFormat="1" ht="46.9" customHeight="1">
      <c r="A86" s="125" t="s">
        <v>28</v>
      </c>
      <c r="B86" s="99" t="s">
        <v>140</v>
      </c>
      <c r="C86" s="99" t="s">
        <v>141</v>
      </c>
      <c r="D86" s="109">
        <f>(150000*1.05)/30</f>
        <v>5250</v>
      </c>
      <c r="E86" s="110">
        <v>1</v>
      </c>
      <c r="F86" s="111">
        <f>D86*E86</f>
        <v>5250</v>
      </c>
      <c r="H86" s="156"/>
    </row>
    <row r="87" spans="1:8" s="155" customFormat="1" ht="27.6" customHeight="1">
      <c r="A87" s="125" t="s">
        <v>137</v>
      </c>
      <c r="B87" s="99" t="s">
        <v>142</v>
      </c>
      <c r="C87" s="99" t="s">
        <v>143</v>
      </c>
      <c r="D87" s="109">
        <f>15000/30</f>
        <v>500</v>
      </c>
      <c r="E87" s="110">
        <v>2</v>
      </c>
      <c r="F87" s="111">
        <f>D87*E87</f>
        <v>1000</v>
      </c>
      <c r="H87" s="156"/>
    </row>
    <row r="88" spans="1:8" s="155" customFormat="1" ht="27.6" customHeight="1">
      <c r="A88" s="213"/>
      <c r="B88" s="213"/>
      <c r="C88" s="213"/>
      <c r="D88" s="211" t="s">
        <v>165</v>
      </c>
      <c r="E88" s="211"/>
      <c r="F88" s="148">
        <f>SUM(F85:F87)</f>
        <v>9750</v>
      </c>
      <c r="H88" s="156"/>
    </row>
    <row r="89" spans="1:8" s="155" customFormat="1" ht="27.6" customHeight="1">
      <c r="A89" s="219"/>
      <c r="B89" s="220"/>
      <c r="C89" s="220"/>
      <c r="D89" s="220"/>
      <c r="E89" s="220"/>
      <c r="F89" s="221"/>
      <c r="H89" s="156"/>
    </row>
    <row r="90" spans="1:8" s="155" customFormat="1" ht="27.6" customHeight="1">
      <c r="A90" s="233" t="s">
        <v>167</v>
      </c>
      <c r="B90" s="233"/>
      <c r="C90" s="233"/>
      <c r="D90" s="234">
        <f>SUM(F88+F82+F76+F69+F63+F43+F33+F25+F12)</f>
        <v>372288</v>
      </c>
      <c r="E90" s="234"/>
      <c r="F90" s="234"/>
      <c r="H90" s="156"/>
    </row>
    <row r="91" spans="1:8" s="155" customFormat="1" ht="27.6" customHeight="1">
      <c r="A91" s="231" t="s">
        <v>168</v>
      </c>
      <c r="B91" s="231"/>
      <c r="C91" s="231"/>
      <c r="D91" s="232">
        <f>F7-D90</f>
        <v>0</v>
      </c>
      <c r="E91" s="232"/>
      <c r="F91" s="232"/>
      <c r="H91" s="156"/>
    </row>
    <row r="94" spans="1:8" ht="27.6" customHeight="1">
      <c r="G94" s="167"/>
    </row>
    <row r="96" spans="1:8" ht="27.6" customHeight="1">
      <c r="G96" s="167"/>
    </row>
    <row r="97" spans="7:7" ht="27.6" customHeight="1">
      <c r="G97" s="167"/>
    </row>
    <row r="98" spans="7:7" ht="27.6" customHeight="1">
      <c r="G98" s="168"/>
    </row>
  </sheetData>
  <mergeCells count="41">
    <mergeCell ref="A9:F9"/>
    <mergeCell ref="A12:C12"/>
    <mergeCell ref="D12:E12"/>
    <mergeCell ref="A13:F13"/>
    <mergeCell ref="A1:F1"/>
    <mergeCell ref="A3:F3"/>
    <mergeCell ref="A2:F2"/>
    <mergeCell ref="A7:C7"/>
    <mergeCell ref="D7:E7"/>
    <mergeCell ref="A8:F8"/>
    <mergeCell ref="B19:B21"/>
    <mergeCell ref="A25:C25"/>
    <mergeCell ref="D25:E25"/>
    <mergeCell ref="A26:F26"/>
    <mergeCell ref="B54:B55"/>
    <mergeCell ref="A33:C33"/>
    <mergeCell ref="D33:E33"/>
    <mergeCell ref="A34:F34"/>
    <mergeCell ref="A43:C43"/>
    <mergeCell ref="D43:E43"/>
    <mergeCell ref="A77:F77"/>
    <mergeCell ref="A89:F89"/>
    <mergeCell ref="D90:F90"/>
    <mergeCell ref="A91:C91"/>
    <mergeCell ref="D91:F91"/>
    <mergeCell ref="A82:C82"/>
    <mergeCell ref="D82:E82"/>
    <mergeCell ref="A83:F83"/>
    <mergeCell ref="A88:C88"/>
    <mergeCell ref="D88:E88"/>
    <mergeCell ref="A90:C90"/>
    <mergeCell ref="A44:F44"/>
    <mergeCell ref="D69:E69"/>
    <mergeCell ref="A70:F70"/>
    <mergeCell ref="A76:C76"/>
    <mergeCell ref="D76:E76"/>
    <mergeCell ref="A64:F64"/>
    <mergeCell ref="A69:C69"/>
    <mergeCell ref="B56:B58"/>
    <mergeCell ref="A63:C63"/>
    <mergeCell ref="D63:E63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A1F5D-0E38-44B9-AC13-B4BD9C97B6C8}">
  <dimension ref="A1:AB94"/>
  <sheetViews>
    <sheetView topLeftCell="D25" zoomScale="70" zoomScaleNormal="70" workbookViewId="0">
      <selection activeCell="Z10" sqref="Z10"/>
    </sheetView>
  </sheetViews>
  <sheetFormatPr defaultColWidth="8.875" defaultRowHeight="15"/>
  <cols>
    <col min="1" max="1" width="23.25" style="12" customWidth="1"/>
    <col min="2" max="2" width="12.125" style="12" bestFit="1" customWidth="1"/>
    <col min="3" max="3" width="10.25" style="13" bestFit="1" customWidth="1"/>
    <col min="4" max="4" width="9.75" style="73" bestFit="1" customWidth="1"/>
    <col min="5" max="5" width="15.625" style="12" customWidth="1"/>
    <col min="6" max="6" width="14.875" style="12" customWidth="1"/>
    <col min="7" max="7" width="9.25" style="13" customWidth="1"/>
    <col min="8" max="8" width="8.125" style="73" customWidth="1"/>
    <col min="9" max="9" width="15" style="12" bestFit="1" customWidth="1"/>
    <col min="10" max="10" width="11" style="12" bestFit="1" customWidth="1"/>
    <col min="11" max="11" width="9.25" style="13" customWidth="1"/>
    <col min="12" max="12" width="6.25" style="73" customWidth="1"/>
    <col min="13" max="13" width="15.75" style="12" customWidth="1"/>
    <col min="14" max="14" width="12.25" style="12" customWidth="1"/>
    <col min="15" max="15" width="9.125" style="13" bestFit="1" customWidth="1"/>
    <col min="16" max="16" width="9.125" style="73" customWidth="1"/>
    <col min="17" max="17" width="15" style="12" bestFit="1" customWidth="1"/>
    <col min="18" max="18" width="11" style="12" bestFit="1" customWidth="1"/>
    <col min="19" max="19" width="9.125" style="13" bestFit="1" customWidth="1"/>
    <col min="20" max="20" width="9.125" style="73" customWidth="1"/>
    <col min="21" max="21" width="13.125" style="12" bestFit="1" customWidth="1"/>
    <col min="22" max="22" width="13.875" style="12" customWidth="1"/>
    <col min="23" max="23" width="8.875" style="13" customWidth="1"/>
    <col min="24" max="24" width="6.25" style="73" customWidth="1"/>
    <col min="25" max="25" width="13.875" style="12" bestFit="1" customWidth="1"/>
    <col min="26" max="26" width="16.25" style="12" bestFit="1" customWidth="1"/>
    <col min="27" max="27" width="9.125" style="12" hidden="1" customWidth="1"/>
    <col min="28" max="28" width="0" style="12" hidden="1" customWidth="1"/>
    <col min="29" max="16384" width="8.875" style="12"/>
  </cols>
  <sheetData>
    <row r="1" spans="1:28" ht="15.75" thickBot="1">
      <c r="A1" s="12" t="s">
        <v>184</v>
      </c>
    </row>
    <row r="2" spans="1:28" s="10" customFormat="1" ht="21.6" customHeight="1">
      <c r="A2" s="248" t="s">
        <v>32</v>
      </c>
      <c r="B2" s="249" t="s">
        <v>29</v>
      </c>
      <c r="C2" s="250"/>
      <c r="D2" s="250"/>
      <c r="E2" s="250"/>
      <c r="F2" s="250"/>
      <c r="G2" s="250"/>
      <c r="H2" s="251"/>
      <c r="I2" s="252"/>
      <c r="J2" s="253" t="s">
        <v>30</v>
      </c>
      <c r="K2" s="254"/>
      <c r="L2" s="254"/>
      <c r="M2" s="254"/>
      <c r="N2" s="254"/>
      <c r="O2" s="254"/>
      <c r="P2" s="255"/>
      <c r="Q2" s="256"/>
      <c r="R2" s="257" t="s">
        <v>31</v>
      </c>
      <c r="S2" s="258"/>
      <c r="T2" s="258"/>
      <c r="U2" s="258"/>
      <c r="V2" s="258"/>
      <c r="W2" s="258"/>
      <c r="X2" s="259"/>
      <c r="Y2" s="259"/>
      <c r="Z2" s="260" t="s">
        <v>41</v>
      </c>
    </row>
    <row r="3" spans="1:28" s="10" customFormat="1" ht="15.75">
      <c r="A3" s="248"/>
      <c r="B3" s="91" t="s">
        <v>33</v>
      </c>
      <c r="C3" s="94" t="s">
        <v>191</v>
      </c>
      <c r="D3" s="72" t="s">
        <v>192</v>
      </c>
      <c r="E3" s="92" t="s">
        <v>193</v>
      </c>
      <c r="F3" s="92" t="s">
        <v>34</v>
      </c>
      <c r="G3" s="94" t="s">
        <v>191</v>
      </c>
      <c r="H3" s="72" t="s">
        <v>192</v>
      </c>
      <c r="I3" s="93" t="s">
        <v>193</v>
      </c>
      <c r="J3" s="91" t="s">
        <v>33</v>
      </c>
      <c r="K3" s="94" t="s">
        <v>191</v>
      </c>
      <c r="L3" s="72" t="s">
        <v>192</v>
      </c>
      <c r="M3" s="92" t="s">
        <v>193</v>
      </c>
      <c r="N3" s="92" t="s">
        <v>34</v>
      </c>
      <c r="O3" s="94" t="s">
        <v>191</v>
      </c>
      <c r="P3" s="72" t="s">
        <v>192</v>
      </c>
      <c r="Q3" s="93" t="s">
        <v>193</v>
      </c>
      <c r="R3" s="91" t="s">
        <v>33</v>
      </c>
      <c r="S3" s="94" t="s">
        <v>191</v>
      </c>
      <c r="T3" s="72" t="s">
        <v>192</v>
      </c>
      <c r="U3" s="92" t="s">
        <v>193</v>
      </c>
      <c r="V3" s="92" t="s">
        <v>34</v>
      </c>
      <c r="W3" s="94" t="s">
        <v>191</v>
      </c>
      <c r="X3" s="72" t="s">
        <v>192</v>
      </c>
      <c r="Y3" s="93" t="s">
        <v>193</v>
      </c>
      <c r="Z3" s="261"/>
    </row>
    <row r="4" spans="1:28" ht="25.15" customHeight="1">
      <c r="A4" s="16" t="s">
        <v>35</v>
      </c>
      <c r="B4" s="18">
        <f>750*30</f>
        <v>22500</v>
      </c>
      <c r="C4" s="15">
        <v>65</v>
      </c>
      <c r="D4" s="72">
        <f>C4/$Z$4</f>
        <v>0.4642857142857143</v>
      </c>
      <c r="E4" s="14">
        <f>B4*C4</f>
        <v>1462500</v>
      </c>
      <c r="F4" s="14">
        <f>800*30</f>
        <v>24000</v>
      </c>
      <c r="G4" s="15">
        <v>30</v>
      </c>
      <c r="H4" s="75">
        <f>G4/$Z$4</f>
        <v>0.21428571428571427</v>
      </c>
      <c r="I4" s="19">
        <f>G4*F4</f>
        <v>720000</v>
      </c>
      <c r="J4" s="18">
        <f>780*30</f>
        <v>23400</v>
      </c>
      <c r="K4" s="15">
        <v>10</v>
      </c>
      <c r="L4" s="72">
        <f>K4/$Z$4</f>
        <v>7.1428571428571425E-2</v>
      </c>
      <c r="M4" s="14">
        <f>K4*J4</f>
        <v>234000</v>
      </c>
      <c r="N4" s="14">
        <f>840*30</f>
        <v>25200</v>
      </c>
      <c r="O4" s="15">
        <v>12</v>
      </c>
      <c r="P4" s="75">
        <f>O4/$Z$4</f>
        <v>8.5714285714285715E-2</v>
      </c>
      <c r="Q4" s="19">
        <f>O4*N4</f>
        <v>302400</v>
      </c>
      <c r="R4" s="18">
        <f>780*30</f>
        <v>23400</v>
      </c>
      <c r="S4" s="15">
        <v>13</v>
      </c>
      <c r="T4" s="72">
        <f>S4/$Z$4</f>
        <v>9.285714285714286E-2</v>
      </c>
      <c r="U4" s="14">
        <f>S4*R4</f>
        <v>304200</v>
      </c>
      <c r="V4" s="14">
        <f>840*30</f>
        <v>25200</v>
      </c>
      <c r="W4" s="15">
        <v>10</v>
      </c>
      <c r="X4" s="75">
        <f>W4/$Z$4</f>
        <v>7.1428571428571425E-2</v>
      </c>
      <c r="Y4" s="25">
        <f>W4*V4</f>
        <v>252000</v>
      </c>
      <c r="Z4" s="27">
        <f t="shared" ref="Z4:Z9" si="0">C4+G4+K4+O4+S4+W4</f>
        <v>140</v>
      </c>
      <c r="AA4" s="12">
        <v>140</v>
      </c>
      <c r="AB4" s="12">
        <f t="shared" ref="AB4:AB9" si="1">AA4/800</f>
        <v>0.17499999999999999</v>
      </c>
    </row>
    <row r="5" spans="1:28" ht="25.15" customHeight="1">
      <c r="A5" s="16" t="s">
        <v>36</v>
      </c>
      <c r="B5" s="18">
        <f>550*30</f>
        <v>16500</v>
      </c>
      <c r="C5" s="15">
        <v>60</v>
      </c>
      <c r="D5" s="72">
        <f>C5/$Z$5</f>
        <v>0.31578947368421051</v>
      </c>
      <c r="E5" s="14">
        <f t="shared" ref="E5:E9" si="2">B5*C5</f>
        <v>990000</v>
      </c>
      <c r="F5" s="14">
        <f>600*30</f>
        <v>18000</v>
      </c>
      <c r="G5" s="15">
        <v>50</v>
      </c>
      <c r="H5" s="75">
        <f>G5/Z5</f>
        <v>0.26315789473684209</v>
      </c>
      <c r="I5" s="19">
        <f t="shared" ref="I5:I9" si="3">G5*F5</f>
        <v>900000</v>
      </c>
      <c r="J5" s="18">
        <f>590*30</f>
        <v>17700</v>
      </c>
      <c r="K5" s="15">
        <v>30</v>
      </c>
      <c r="L5" s="72">
        <f>K5/Z5</f>
        <v>0.15789473684210525</v>
      </c>
      <c r="M5" s="14">
        <f t="shared" ref="M5:M9" si="4">K5*J5</f>
        <v>531000</v>
      </c>
      <c r="N5" s="14">
        <f>650*30</f>
        <v>19500</v>
      </c>
      <c r="O5" s="15">
        <v>30</v>
      </c>
      <c r="P5" s="75">
        <f>O5/Z5</f>
        <v>0.15789473684210525</v>
      </c>
      <c r="Q5" s="19">
        <f t="shared" ref="Q5:Q9" si="5">O5*N5</f>
        <v>585000</v>
      </c>
      <c r="R5" s="18">
        <f>590*30</f>
        <v>17700</v>
      </c>
      <c r="S5" s="15">
        <v>10</v>
      </c>
      <c r="T5" s="72">
        <f>S5/Z5</f>
        <v>5.2631578947368418E-2</v>
      </c>
      <c r="U5" s="14">
        <f t="shared" ref="U5:U9" si="6">S5*R5</f>
        <v>177000</v>
      </c>
      <c r="V5" s="14">
        <f>650*30</f>
        <v>19500</v>
      </c>
      <c r="W5" s="15">
        <v>10</v>
      </c>
      <c r="X5" s="75">
        <f>W5/Z5</f>
        <v>5.2631578947368418E-2</v>
      </c>
      <c r="Y5" s="25">
        <f t="shared" ref="Y5:Y9" si="7">W5*V5</f>
        <v>195000</v>
      </c>
      <c r="Z5" s="27">
        <f t="shared" si="0"/>
        <v>190</v>
      </c>
      <c r="AA5" s="12">
        <v>190</v>
      </c>
      <c r="AB5" s="12">
        <f t="shared" si="1"/>
        <v>0.23749999999999999</v>
      </c>
    </row>
    <row r="6" spans="1:28" ht="25.15" customHeight="1">
      <c r="A6" s="16" t="s">
        <v>37</v>
      </c>
      <c r="B6" s="18">
        <f>450*30</f>
        <v>13500</v>
      </c>
      <c r="C6" s="15">
        <v>140</v>
      </c>
      <c r="D6" s="72">
        <f>C6/$Z$6</f>
        <v>0.56000000000000005</v>
      </c>
      <c r="E6" s="14">
        <f t="shared" si="2"/>
        <v>1890000</v>
      </c>
      <c r="F6" s="14">
        <f>500*30</f>
        <v>15000</v>
      </c>
      <c r="G6" s="15">
        <v>70</v>
      </c>
      <c r="H6" s="75">
        <f>G6/Z6</f>
        <v>0.28000000000000003</v>
      </c>
      <c r="I6" s="19">
        <f t="shared" si="3"/>
        <v>1050000</v>
      </c>
      <c r="J6" s="18">
        <f>490*30</f>
        <v>14700</v>
      </c>
      <c r="K6" s="15">
        <v>15</v>
      </c>
      <c r="L6" s="72">
        <f t="shared" ref="L6:L8" si="8">K6/Z6</f>
        <v>0.06</v>
      </c>
      <c r="M6" s="14">
        <f t="shared" si="4"/>
        <v>220500</v>
      </c>
      <c r="N6" s="14">
        <f>550*30</f>
        <v>16500</v>
      </c>
      <c r="O6" s="15">
        <v>18</v>
      </c>
      <c r="P6" s="75">
        <f t="shared" ref="P6:P9" si="9">O6/Z6</f>
        <v>7.1999999999999995E-2</v>
      </c>
      <c r="Q6" s="19">
        <f t="shared" si="5"/>
        <v>297000</v>
      </c>
      <c r="R6" s="18">
        <f>490*30</f>
        <v>14700</v>
      </c>
      <c r="S6" s="15">
        <v>5</v>
      </c>
      <c r="T6" s="72">
        <f t="shared" ref="T6:T9" si="10">S6/Z6</f>
        <v>0.02</v>
      </c>
      <c r="U6" s="14">
        <f t="shared" si="6"/>
        <v>73500</v>
      </c>
      <c r="V6" s="14">
        <f>550*30</f>
        <v>16500</v>
      </c>
      <c r="W6" s="15">
        <v>2</v>
      </c>
      <c r="X6" s="75">
        <f t="shared" ref="X6:X9" si="11">W6/Z6</f>
        <v>8.0000000000000002E-3</v>
      </c>
      <c r="Y6" s="25">
        <f t="shared" si="7"/>
        <v>33000</v>
      </c>
      <c r="Z6" s="27">
        <f t="shared" si="0"/>
        <v>250</v>
      </c>
      <c r="AA6" s="12">
        <v>250</v>
      </c>
      <c r="AB6" s="12">
        <f t="shared" si="1"/>
        <v>0.3125</v>
      </c>
    </row>
    <row r="7" spans="1:28" ht="25.15" customHeight="1">
      <c r="A7" s="16" t="s">
        <v>38</v>
      </c>
      <c r="B7" s="18">
        <f>250*30</f>
        <v>7500</v>
      </c>
      <c r="C7" s="15">
        <v>60</v>
      </c>
      <c r="D7" s="72">
        <f>C7/$Z$7</f>
        <v>0.4</v>
      </c>
      <c r="E7" s="14">
        <f t="shared" si="2"/>
        <v>450000</v>
      </c>
      <c r="F7" s="14">
        <f>300*30</f>
        <v>9000</v>
      </c>
      <c r="G7" s="15">
        <v>50</v>
      </c>
      <c r="H7" s="75">
        <f>G7/Z7</f>
        <v>0.33333333333333331</v>
      </c>
      <c r="I7" s="19">
        <f t="shared" si="3"/>
        <v>450000</v>
      </c>
      <c r="J7" s="18">
        <f t="shared" ref="J7:J8" si="12">280*30</f>
        <v>8400</v>
      </c>
      <c r="K7" s="15">
        <v>25</v>
      </c>
      <c r="L7" s="72">
        <f t="shared" si="8"/>
        <v>0.16666666666666666</v>
      </c>
      <c r="M7" s="14">
        <f t="shared" si="4"/>
        <v>210000</v>
      </c>
      <c r="N7" s="14">
        <f t="shared" ref="N7:N8" si="13">340*30</f>
        <v>10200</v>
      </c>
      <c r="O7" s="15">
        <v>15</v>
      </c>
      <c r="P7" s="75">
        <f t="shared" si="9"/>
        <v>0.1</v>
      </c>
      <c r="Q7" s="19">
        <f t="shared" si="5"/>
        <v>153000</v>
      </c>
      <c r="R7" s="18">
        <f t="shared" ref="R7:R8" si="14">280*30</f>
        <v>8400</v>
      </c>
      <c r="S7" s="15">
        <v>0</v>
      </c>
      <c r="T7" s="72">
        <f t="shared" si="10"/>
        <v>0</v>
      </c>
      <c r="U7" s="14">
        <f t="shared" si="6"/>
        <v>0</v>
      </c>
      <c r="V7" s="14">
        <f t="shared" ref="V7:V8" si="15">340*30</f>
        <v>10200</v>
      </c>
      <c r="W7" s="15">
        <v>0</v>
      </c>
      <c r="X7" s="75">
        <f t="shared" si="11"/>
        <v>0</v>
      </c>
      <c r="Y7" s="25">
        <f t="shared" si="7"/>
        <v>0</v>
      </c>
      <c r="Z7" s="27">
        <f t="shared" si="0"/>
        <v>150</v>
      </c>
      <c r="AA7" s="12">
        <v>150</v>
      </c>
      <c r="AB7" s="12">
        <f t="shared" si="1"/>
        <v>0.1875</v>
      </c>
    </row>
    <row r="8" spans="1:28" ht="25.15" customHeight="1">
      <c r="A8" s="16" t="s">
        <v>39</v>
      </c>
      <c r="B8" s="18">
        <f>250*30</f>
        <v>7500</v>
      </c>
      <c r="C8" s="15">
        <v>10</v>
      </c>
      <c r="D8" s="72">
        <f>C8/$Z$8</f>
        <v>0.2</v>
      </c>
      <c r="E8" s="14">
        <f t="shared" si="2"/>
        <v>75000</v>
      </c>
      <c r="F8" s="14">
        <f t="shared" ref="F8:F9" si="16">300*30</f>
        <v>9000</v>
      </c>
      <c r="G8" s="15">
        <v>20</v>
      </c>
      <c r="H8" s="75">
        <f>G8/Z8</f>
        <v>0.4</v>
      </c>
      <c r="I8" s="19">
        <f t="shared" si="3"/>
        <v>180000</v>
      </c>
      <c r="J8" s="18">
        <f t="shared" si="12"/>
        <v>8400</v>
      </c>
      <c r="K8" s="15">
        <v>5</v>
      </c>
      <c r="L8" s="72">
        <f t="shared" si="8"/>
        <v>0.1</v>
      </c>
      <c r="M8" s="14">
        <f t="shared" si="4"/>
        <v>42000</v>
      </c>
      <c r="N8" s="14">
        <f t="shared" si="13"/>
        <v>10200</v>
      </c>
      <c r="O8" s="15">
        <v>5</v>
      </c>
      <c r="P8" s="75">
        <f t="shared" si="9"/>
        <v>0.1</v>
      </c>
      <c r="Q8" s="19">
        <f t="shared" si="5"/>
        <v>51000</v>
      </c>
      <c r="R8" s="18">
        <f t="shared" si="14"/>
        <v>8400</v>
      </c>
      <c r="S8" s="15">
        <v>5</v>
      </c>
      <c r="T8" s="72">
        <f t="shared" si="10"/>
        <v>0.1</v>
      </c>
      <c r="U8" s="14">
        <f t="shared" si="6"/>
        <v>42000</v>
      </c>
      <c r="V8" s="14">
        <f t="shared" si="15"/>
        <v>10200</v>
      </c>
      <c r="W8" s="15">
        <v>5</v>
      </c>
      <c r="X8" s="75">
        <f t="shared" si="11"/>
        <v>0.1</v>
      </c>
      <c r="Y8" s="25">
        <f t="shared" si="7"/>
        <v>51000</v>
      </c>
      <c r="Z8" s="27">
        <f t="shared" si="0"/>
        <v>50</v>
      </c>
      <c r="AA8" s="12">
        <v>50</v>
      </c>
      <c r="AB8" s="12">
        <f t="shared" si="1"/>
        <v>6.25E-2</v>
      </c>
    </row>
    <row r="9" spans="1:28" ht="25.15" customHeight="1">
      <c r="A9" s="16" t="s">
        <v>40</v>
      </c>
      <c r="B9" s="18">
        <f>250*30</f>
        <v>7500</v>
      </c>
      <c r="C9" s="15">
        <v>10</v>
      </c>
      <c r="D9" s="72">
        <f>C9/$Z$9</f>
        <v>0.5</v>
      </c>
      <c r="E9" s="14">
        <f t="shared" si="2"/>
        <v>75000</v>
      </c>
      <c r="F9" s="14">
        <f t="shared" si="16"/>
        <v>9000</v>
      </c>
      <c r="G9" s="15">
        <v>5</v>
      </c>
      <c r="H9" s="75">
        <f>G9/Z9</f>
        <v>0.25</v>
      </c>
      <c r="I9" s="19">
        <f t="shared" si="3"/>
        <v>45000</v>
      </c>
      <c r="J9" s="18">
        <f>250*30</f>
        <v>7500</v>
      </c>
      <c r="K9" s="15">
        <v>5</v>
      </c>
      <c r="L9" s="72">
        <f>K9/Z9</f>
        <v>0.25</v>
      </c>
      <c r="M9" s="14">
        <f t="shared" si="4"/>
        <v>37500</v>
      </c>
      <c r="N9" s="14">
        <f>250*30</f>
        <v>7500</v>
      </c>
      <c r="O9" s="15">
        <v>0</v>
      </c>
      <c r="P9" s="75">
        <f t="shared" si="9"/>
        <v>0</v>
      </c>
      <c r="Q9" s="19">
        <f t="shared" si="5"/>
        <v>0</v>
      </c>
      <c r="R9" s="18">
        <f>250*30</f>
        <v>7500</v>
      </c>
      <c r="S9" s="15">
        <v>0</v>
      </c>
      <c r="T9" s="72">
        <f t="shared" si="10"/>
        <v>0</v>
      </c>
      <c r="U9" s="14">
        <f t="shared" si="6"/>
        <v>0</v>
      </c>
      <c r="V9" s="14">
        <f>250*30</f>
        <v>7500</v>
      </c>
      <c r="W9" s="15">
        <v>0</v>
      </c>
      <c r="X9" s="75">
        <f t="shared" si="11"/>
        <v>0</v>
      </c>
      <c r="Y9" s="25">
        <f t="shared" si="7"/>
        <v>0</v>
      </c>
      <c r="Z9" s="27">
        <f t="shared" si="0"/>
        <v>20</v>
      </c>
      <c r="AA9" s="12">
        <v>20</v>
      </c>
      <c r="AB9" s="12">
        <f t="shared" si="1"/>
        <v>2.5000000000000001E-2</v>
      </c>
    </row>
    <row r="10" spans="1:28" s="10" customFormat="1" ht="25.15" customHeight="1" thickBot="1">
      <c r="A10" s="17" t="s">
        <v>41</v>
      </c>
      <c r="B10" s="20"/>
      <c r="C10" s="21">
        <f>SUM(C4:C9)</f>
        <v>345</v>
      </c>
      <c r="D10" s="74"/>
      <c r="E10" s="22">
        <f>SUM(E4:E9)</f>
        <v>4942500</v>
      </c>
      <c r="F10" s="23"/>
      <c r="G10" s="21">
        <f>SUM(G4:G9)</f>
        <v>225</v>
      </c>
      <c r="H10" s="76"/>
      <c r="I10" s="24">
        <f>SUM(I4:I9)</f>
        <v>3345000</v>
      </c>
      <c r="J10" s="20"/>
      <c r="K10" s="21">
        <f>SUM(K4:K9)</f>
        <v>90</v>
      </c>
      <c r="L10" s="74"/>
      <c r="M10" s="22">
        <f>SUM(M4:M9)</f>
        <v>1275000</v>
      </c>
      <c r="N10" s="23"/>
      <c r="O10" s="21">
        <f>SUM(O4:O9)</f>
        <v>80</v>
      </c>
      <c r="P10" s="76"/>
      <c r="Q10" s="24">
        <f>SUM(Q4:Q9)</f>
        <v>1388400</v>
      </c>
      <c r="R10" s="20"/>
      <c r="S10" s="21">
        <f>SUM(S4:S9)</f>
        <v>33</v>
      </c>
      <c r="T10" s="74"/>
      <c r="U10" s="22">
        <f>SUM(U4:U9)</f>
        <v>596700</v>
      </c>
      <c r="V10" s="23"/>
      <c r="W10" s="21">
        <f>SUM(W4:W9)</f>
        <v>27</v>
      </c>
      <c r="X10" s="76"/>
      <c r="Y10" s="26">
        <f>SUM(Y4:Y9)</f>
        <v>531000</v>
      </c>
      <c r="Z10" s="28">
        <f>Y10+U10+Q10+M10+I10+E10</f>
        <v>12078600</v>
      </c>
    </row>
    <row r="11" spans="1:28">
      <c r="G11" s="13">
        <f>SUM(G10+C10)</f>
        <v>570</v>
      </c>
      <c r="I11" s="11">
        <f>I10+E10</f>
        <v>8287500</v>
      </c>
      <c r="O11" s="13">
        <f>K10+O10</f>
        <v>170</v>
      </c>
      <c r="Q11" s="11">
        <f>Q10+M10</f>
        <v>2663400</v>
      </c>
      <c r="W11" s="13">
        <f>S10+W10</f>
        <v>60</v>
      </c>
      <c r="Y11" s="11">
        <f>Y10+U10</f>
        <v>1127700</v>
      </c>
      <c r="Z11" s="12">
        <f>800</f>
        <v>800</v>
      </c>
    </row>
    <row r="12" spans="1:28">
      <c r="G12" s="73">
        <f>G11/Z11</f>
        <v>0.71250000000000002</v>
      </c>
      <c r="O12" s="73">
        <f>O11/800</f>
        <v>0.21249999999999999</v>
      </c>
      <c r="W12" s="73">
        <f>W11/800</f>
        <v>7.4999999999999997E-2</v>
      </c>
      <c r="Y12" s="11"/>
    </row>
    <row r="14" spans="1:28" ht="15.75" thickBot="1">
      <c r="A14" s="12" t="s">
        <v>190</v>
      </c>
    </row>
    <row r="15" spans="1:28" s="10" customFormat="1" ht="21.6" customHeight="1">
      <c r="A15" s="248" t="s">
        <v>32</v>
      </c>
      <c r="B15" s="249" t="s">
        <v>29</v>
      </c>
      <c r="C15" s="250"/>
      <c r="D15" s="250"/>
      <c r="E15" s="250"/>
      <c r="F15" s="250"/>
      <c r="G15" s="250"/>
      <c r="H15" s="251"/>
      <c r="I15" s="252"/>
      <c r="J15" s="253" t="s">
        <v>30</v>
      </c>
      <c r="K15" s="254"/>
      <c r="L15" s="254"/>
      <c r="M15" s="254"/>
      <c r="N15" s="254"/>
      <c r="O15" s="254"/>
      <c r="P15" s="255"/>
      <c r="Q15" s="256"/>
      <c r="R15" s="257" t="s">
        <v>31</v>
      </c>
      <c r="S15" s="258"/>
      <c r="T15" s="258"/>
      <c r="U15" s="258"/>
      <c r="V15" s="258"/>
      <c r="W15" s="258"/>
      <c r="X15" s="259"/>
      <c r="Y15" s="259"/>
      <c r="Z15" s="260" t="s">
        <v>41</v>
      </c>
    </row>
    <row r="16" spans="1:28" s="10" customFormat="1" ht="15.75">
      <c r="A16" s="248"/>
      <c r="B16" s="91" t="s">
        <v>33</v>
      </c>
      <c r="C16" s="94" t="s">
        <v>191</v>
      </c>
      <c r="D16" s="72" t="s">
        <v>192</v>
      </c>
      <c r="E16" s="92" t="s">
        <v>193</v>
      </c>
      <c r="F16" s="92" t="s">
        <v>34</v>
      </c>
      <c r="G16" s="94" t="s">
        <v>191</v>
      </c>
      <c r="H16" s="72" t="s">
        <v>192</v>
      </c>
      <c r="I16" s="93" t="s">
        <v>193</v>
      </c>
      <c r="J16" s="91" t="s">
        <v>33</v>
      </c>
      <c r="K16" s="94" t="s">
        <v>191</v>
      </c>
      <c r="L16" s="72" t="s">
        <v>192</v>
      </c>
      <c r="M16" s="92" t="s">
        <v>193</v>
      </c>
      <c r="N16" s="92" t="s">
        <v>34</v>
      </c>
      <c r="O16" s="94" t="s">
        <v>191</v>
      </c>
      <c r="P16" s="72" t="s">
        <v>192</v>
      </c>
      <c r="Q16" s="93" t="s">
        <v>193</v>
      </c>
      <c r="R16" s="91" t="s">
        <v>33</v>
      </c>
      <c r="S16" s="94" t="s">
        <v>191</v>
      </c>
      <c r="T16" s="72" t="s">
        <v>192</v>
      </c>
      <c r="U16" s="92" t="s">
        <v>193</v>
      </c>
      <c r="V16" s="92" t="s">
        <v>34</v>
      </c>
      <c r="W16" s="94" t="s">
        <v>191</v>
      </c>
      <c r="X16" s="72" t="s">
        <v>192</v>
      </c>
      <c r="Y16" s="93" t="s">
        <v>193</v>
      </c>
      <c r="Z16" s="261"/>
    </row>
    <row r="17" spans="1:28" ht="25.15" customHeight="1">
      <c r="A17" s="16" t="s">
        <v>35</v>
      </c>
      <c r="B17" s="18">
        <f>750*30</f>
        <v>22500</v>
      </c>
      <c r="C17" s="15">
        <v>130</v>
      </c>
      <c r="D17" s="72">
        <f>C17/Z17</f>
        <v>0.54166666666666663</v>
      </c>
      <c r="E17" s="14">
        <f>B17*C17</f>
        <v>2925000</v>
      </c>
      <c r="F17" s="14">
        <f>800*30</f>
        <v>24000</v>
      </c>
      <c r="G17" s="15">
        <v>50</v>
      </c>
      <c r="H17" s="75">
        <f>G17/Z17</f>
        <v>0.20833333333333334</v>
      </c>
      <c r="I17" s="19">
        <f>G17*F17</f>
        <v>1200000</v>
      </c>
      <c r="J17" s="18">
        <f>780*30</f>
        <v>23400</v>
      </c>
      <c r="K17" s="15">
        <v>20</v>
      </c>
      <c r="L17" s="72">
        <f>K17/Z17</f>
        <v>8.3333333333333329E-2</v>
      </c>
      <c r="M17" s="14">
        <f>K17*J17</f>
        <v>468000</v>
      </c>
      <c r="N17" s="14">
        <f>840*30</f>
        <v>25200</v>
      </c>
      <c r="O17" s="15">
        <v>20</v>
      </c>
      <c r="P17" s="75">
        <f>O17/Z17</f>
        <v>8.3333333333333329E-2</v>
      </c>
      <c r="Q17" s="19">
        <f>O17*N17</f>
        <v>504000</v>
      </c>
      <c r="R17" s="18">
        <f>780*30</f>
        <v>23400</v>
      </c>
      <c r="S17" s="15">
        <v>10</v>
      </c>
      <c r="T17" s="72">
        <f>S17/Z17</f>
        <v>4.1666666666666664E-2</v>
      </c>
      <c r="U17" s="14">
        <f>S17*R17</f>
        <v>234000</v>
      </c>
      <c r="V17" s="14">
        <f>840*30</f>
        <v>25200</v>
      </c>
      <c r="W17" s="15">
        <v>10</v>
      </c>
      <c r="X17" s="75">
        <f>W17/Z17</f>
        <v>4.1666666666666664E-2</v>
      </c>
      <c r="Y17" s="25">
        <f>W17*V17</f>
        <v>252000</v>
      </c>
      <c r="Z17" s="27">
        <f t="shared" ref="Z17:Z22" si="17">C17+G17+K17+O17+S17+W17</f>
        <v>240</v>
      </c>
      <c r="AA17" s="12">
        <v>240</v>
      </c>
      <c r="AB17" s="12">
        <f>AA17/800</f>
        <v>0.3</v>
      </c>
    </row>
    <row r="18" spans="1:28" ht="25.15" customHeight="1">
      <c r="A18" s="16" t="s">
        <v>36</v>
      </c>
      <c r="B18" s="18">
        <f>550*30</f>
        <v>16500</v>
      </c>
      <c r="C18" s="15">
        <v>140</v>
      </c>
      <c r="D18" s="72">
        <f t="shared" ref="D18:D22" si="18">C18/Z18</f>
        <v>0.3888888888888889</v>
      </c>
      <c r="E18" s="14">
        <f t="shared" ref="E18:E22" si="19">B18*C18</f>
        <v>2310000</v>
      </c>
      <c r="F18" s="14">
        <f>600*30</f>
        <v>18000</v>
      </c>
      <c r="G18" s="15">
        <v>95</v>
      </c>
      <c r="H18" s="75">
        <f t="shared" ref="H18:H22" si="20">G18/Z18</f>
        <v>0.2638888888888889</v>
      </c>
      <c r="I18" s="19">
        <f t="shared" ref="I18:I22" si="21">G18*F18</f>
        <v>1710000</v>
      </c>
      <c r="J18" s="18">
        <f>590*30</f>
        <v>17700</v>
      </c>
      <c r="K18" s="15">
        <v>60</v>
      </c>
      <c r="L18" s="72">
        <f t="shared" ref="L18:L22" si="22">K18/Z18</f>
        <v>0.16666666666666666</v>
      </c>
      <c r="M18" s="14">
        <f t="shared" ref="M18:M22" si="23">K18*J18</f>
        <v>1062000</v>
      </c>
      <c r="N18" s="14">
        <f>650*30</f>
        <v>19500</v>
      </c>
      <c r="O18" s="15">
        <v>40</v>
      </c>
      <c r="P18" s="75">
        <f t="shared" ref="P18:P22" si="24">O18/Z18</f>
        <v>0.1111111111111111</v>
      </c>
      <c r="Q18" s="19">
        <f t="shared" ref="Q18:Q22" si="25">O18*N18</f>
        <v>780000</v>
      </c>
      <c r="R18" s="18">
        <f>590*30</f>
        <v>17700</v>
      </c>
      <c r="S18" s="15">
        <v>15</v>
      </c>
      <c r="T18" s="72">
        <f t="shared" ref="T18:T22" si="26">S18/Z18</f>
        <v>4.1666666666666664E-2</v>
      </c>
      <c r="U18" s="14">
        <f t="shared" ref="U18:U21" si="27">S18*R18</f>
        <v>265500</v>
      </c>
      <c r="V18" s="14">
        <f>650*30</f>
        <v>19500</v>
      </c>
      <c r="W18" s="15">
        <v>10</v>
      </c>
      <c r="X18" s="75">
        <f t="shared" ref="X18:X22" si="28">W18/Z18</f>
        <v>2.7777777777777776E-2</v>
      </c>
      <c r="Y18" s="25">
        <f t="shared" ref="Y18:Y22" si="29">W18*V18</f>
        <v>195000</v>
      </c>
      <c r="Z18" s="27">
        <f t="shared" si="17"/>
        <v>360</v>
      </c>
      <c r="AA18" s="12">
        <v>360</v>
      </c>
      <c r="AB18" s="12">
        <f t="shared" ref="AB18:AB22" si="30">AA18/800</f>
        <v>0.45</v>
      </c>
    </row>
    <row r="19" spans="1:28" ht="25.15" customHeight="1">
      <c r="A19" s="16" t="s">
        <v>37</v>
      </c>
      <c r="B19" s="18">
        <f>450*30</f>
        <v>13500</v>
      </c>
      <c r="C19" s="15">
        <v>30</v>
      </c>
      <c r="D19" s="72">
        <f t="shared" si="18"/>
        <v>0.6</v>
      </c>
      <c r="E19" s="14">
        <f t="shared" si="19"/>
        <v>405000</v>
      </c>
      <c r="F19" s="14">
        <f>500*30</f>
        <v>15000</v>
      </c>
      <c r="G19" s="15">
        <v>14</v>
      </c>
      <c r="H19" s="75">
        <f t="shared" si="20"/>
        <v>0.28000000000000003</v>
      </c>
      <c r="I19" s="19">
        <f t="shared" si="21"/>
        <v>210000</v>
      </c>
      <c r="J19" s="18">
        <f>490*30</f>
        <v>14700</v>
      </c>
      <c r="K19" s="15">
        <v>2</v>
      </c>
      <c r="L19" s="72">
        <f t="shared" si="22"/>
        <v>0.04</v>
      </c>
      <c r="M19" s="14">
        <f t="shared" si="23"/>
        <v>29400</v>
      </c>
      <c r="N19" s="14">
        <f>550*30</f>
        <v>16500</v>
      </c>
      <c r="O19" s="15">
        <v>2</v>
      </c>
      <c r="P19" s="75">
        <f t="shared" si="24"/>
        <v>0.04</v>
      </c>
      <c r="Q19" s="19">
        <f t="shared" si="25"/>
        <v>33000</v>
      </c>
      <c r="R19" s="18">
        <f>490*30</f>
        <v>14700</v>
      </c>
      <c r="S19" s="15">
        <f>50*0.02</f>
        <v>1</v>
      </c>
      <c r="T19" s="72">
        <f t="shared" si="26"/>
        <v>0.02</v>
      </c>
      <c r="U19" s="14">
        <f t="shared" si="27"/>
        <v>14700</v>
      </c>
      <c r="V19" s="14">
        <f>550*30</f>
        <v>16500</v>
      </c>
      <c r="W19" s="15">
        <v>1</v>
      </c>
      <c r="X19" s="75">
        <f t="shared" si="28"/>
        <v>0.02</v>
      </c>
      <c r="Y19" s="25">
        <f t="shared" si="29"/>
        <v>16500</v>
      </c>
      <c r="Z19" s="27">
        <f t="shared" si="17"/>
        <v>50</v>
      </c>
      <c r="AA19" s="12">
        <v>50</v>
      </c>
      <c r="AB19" s="12">
        <f t="shared" si="30"/>
        <v>6.25E-2</v>
      </c>
    </row>
    <row r="20" spans="1:28" ht="25.15" customHeight="1">
      <c r="A20" s="16" t="s">
        <v>38</v>
      </c>
      <c r="B20" s="18">
        <f>250*30</f>
        <v>7500</v>
      </c>
      <c r="C20" s="15">
        <f>50*0.4</f>
        <v>20</v>
      </c>
      <c r="D20" s="72">
        <f t="shared" si="18"/>
        <v>0.4</v>
      </c>
      <c r="E20" s="14">
        <f t="shared" si="19"/>
        <v>150000</v>
      </c>
      <c r="F20" s="14">
        <f>300*30</f>
        <v>9000</v>
      </c>
      <c r="G20" s="15">
        <v>17</v>
      </c>
      <c r="H20" s="75">
        <f t="shared" si="20"/>
        <v>0.34</v>
      </c>
      <c r="I20" s="19">
        <f t="shared" si="21"/>
        <v>153000</v>
      </c>
      <c r="J20" s="18">
        <f t="shared" ref="J20:J21" si="31">280*30</f>
        <v>8400</v>
      </c>
      <c r="K20" s="15">
        <v>9</v>
      </c>
      <c r="L20" s="72">
        <f t="shared" si="22"/>
        <v>0.18</v>
      </c>
      <c r="M20" s="14">
        <f t="shared" si="23"/>
        <v>75600</v>
      </c>
      <c r="N20" s="14">
        <f t="shared" ref="N20:N21" si="32">340*30</f>
        <v>10200</v>
      </c>
      <c r="O20" s="15">
        <v>4</v>
      </c>
      <c r="P20" s="75">
        <f t="shared" si="24"/>
        <v>0.08</v>
      </c>
      <c r="Q20" s="19">
        <f t="shared" si="25"/>
        <v>40800</v>
      </c>
      <c r="R20" s="18">
        <f t="shared" ref="R20:R21" si="33">280*30</f>
        <v>8400</v>
      </c>
      <c r="S20" s="15">
        <v>0</v>
      </c>
      <c r="T20" s="72">
        <f t="shared" si="26"/>
        <v>0</v>
      </c>
      <c r="U20" s="14">
        <f t="shared" si="27"/>
        <v>0</v>
      </c>
      <c r="V20" s="14">
        <f t="shared" ref="V20:V21" si="34">340*30</f>
        <v>10200</v>
      </c>
      <c r="W20" s="15">
        <v>0</v>
      </c>
      <c r="X20" s="75">
        <f t="shared" si="28"/>
        <v>0</v>
      </c>
      <c r="Y20" s="25">
        <f t="shared" si="29"/>
        <v>0</v>
      </c>
      <c r="Z20" s="27">
        <f t="shared" si="17"/>
        <v>50</v>
      </c>
      <c r="AA20" s="12">
        <v>50</v>
      </c>
      <c r="AB20" s="12">
        <f t="shared" si="30"/>
        <v>6.25E-2</v>
      </c>
    </row>
    <row r="21" spans="1:28" ht="25.15" customHeight="1">
      <c r="A21" s="16" t="s">
        <v>39</v>
      </c>
      <c r="B21" s="18">
        <f>250*30</f>
        <v>7500</v>
      </c>
      <c r="C21" s="15">
        <f>50*0.2</f>
        <v>10</v>
      </c>
      <c r="D21" s="72">
        <f t="shared" si="18"/>
        <v>0.2</v>
      </c>
      <c r="E21" s="14">
        <f t="shared" si="19"/>
        <v>75000</v>
      </c>
      <c r="F21" s="14">
        <f t="shared" ref="F21:F22" si="35">300*30</f>
        <v>9000</v>
      </c>
      <c r="G21" s="15">
        <f>50*0.4</f>
        <v>20</v>
      </c>
      <c r="H21" s="75">
        <f t="shared" si="20"/>
        <v>0.4</v>
      </c>
      <c r="I21" s="19">
        <f t="shared" si="21"/>
        <v>180000</v>
      </c>
      <c r="J21" s="18">
        <f t="shared" si="31"/>
        <v>8400</v>
      </c>
      <c r="K21" s="15">
        <f>50*0.1</f>
        <v>5</v>
      </c>
      <c r="L21" s="72">
        <f t="shared" si="22"/>
        <v>0.1</v>
      </c>
      <c r="M21" s="14">
        <f t="shared" si="23"/>
        <v>42000</v>
      </c>
      <c r="N21" s="14">
        <f t="shared" si="32"/>
        <v>10200</v>
      </c>
      <c r="O21" s="15">
        <v>5</v>
      </c>
      <c r="P21" s="75">
        <f t="shared" si="24"/>
        <v>0.1</v>
      </c>
      <c r="Q21" s="19">
        <f t="shared" si="25"/>
        <v>51000</v>
      </c>
      <c r="R21" s="18">
        <f t="shared" si="33"/>
        <v>8400</v>
      </c>
      <c r="S21" s="15">
        <v>5</v>
      </c>
      <c r="T21" s="72">
        <f t="shared" si="26"/>
        <v>0.1</v>
      </c>
      <c r="U21" s="14">
        <f t="shared" si="27"/>
        <v>42000</v>
      </c>
      <c r="V21" s="14">
        <f t="shared" si="34"/>
        <v>10200</v>
      </c>
      <c r="W21" s="15">
        <v>5</v>
      </c>
      <c r="X21" s="75">
        <f t="shared" si="28"/>
        <v>0.1</v>
      </c>
      <c r="Y21" s="25">
        <f t="shared" si="29"/>
        <v>51000</v>
      </c>
      <c r="Z21" s="27">
        <f t="shared" si="17"/>
        <v>50</v>
      </c>
      <c r="AA21" s="12">
        <v>50</v>
      </c>
      <c r="AB21" s="12">
        <f t="shared" si="30"/>
        <v>6.25E-2</v>
      </c>
    </row>
    <row r="22" spans="1:28" ht="25.15" customHeight="1">
      <c r="A22" s="16" t="s">
        <v>40</v>
      </c>
      <c r="B22" s="18">
        <f>250*30</f>
        <v>7500</v>
      </c>
      <c r="C22" s="15">
        <f>50*0.5</f>
        <v>25</v>
      </c>
      <c r="D22" s="72">
        <f t="shared" si="18"/>
        <v>0.5</v>
      </c>
      <c r="E22" s="14">
        <f t="shared" si="19"/>
        <v>187500</v>
      </c>
      <c r="F22" s="14">
        <f t="shared" si="35"/>
        <v>9000</v>
      </c>
      <c r="G22" s="15">
        <v>13</v>
      </c>
      <c r="H22" s="75">
        <f t="shared" si="20"/>
        <v>0.26</v>
      </c>
      <c r="I22" s="19">
        <f t="shared" si="21"/>
        <v>117000</v>
      </c>
      <c r="J22" s="18">
        <f>250*30</f>
        <v>7500</v>
      </c>
      <c r="K22" s="15">
        <v>12</v>
      </c>
      <c r="L22" s="72">
        <f t="shared" si="22"/>
        <v>0.24</v>
      </c>
      <c r="M22" s="14">
        <f t="shared" si="23"/>
        <v>90000</v>
      </c>
      <c r="N22" s="14">
        <f>250*30</f>
        <v>7500</v>
      </c>
      <c r="O22" s="15">
        <v>0</v>
      </c>
      <c r="P22" s="75">
        <f t="shared" si="24"/>
        <v>0</v>
      </c>
      <c r="Q22" s="19">
        <f t="shared" si="25"/>
        <v>0</v>
      </c>
      <c r="R22" s="18">
        <f>250*30</f>
        <v>7500</v>
      </c>
      <c r="S22" s="15">
        <v>0</v>
      </c>
      <c r="T22" s="72">
        <f t="shared" si="26"/>
        <v>0</v>
      </c>
      <c r="U22" s="14">
        <f>S22*R22</f>
        <v>0</v>
      </c>
      <c r="V22" s="14">
        <f>250*30</f>
        <v>7500</v>
      </c>
      <c r="W22" s="15">
        <v>0</v>
      </c>
      <c r="X22" s="75">
        <f t="shared" si="28"/>
        <v>0</v>
      </c>
      <c r="Y22" s="25">
        <f t="shared" si="29"/>
        <v>0</v>
      </c>
      <c r="Z22" s="27">
        <f t="shared" si="17"/>
        <v>50</v>
      </c>
      <c r="AA22" s="12">
        <v>50</v>
      </c>
      <c r="AB22" s="12">
        <f t="shared" si="30"/>
        <v>6.25E-2</v>
      </c>
    </row>
    <row r="23" spans="1:28" s="10" customFormat="1" ht="25.15" customHeight="1" thickBot="1">
      <c r="A23" s="17" t="s">
        <v>41</v>
      </c>
      <c r="B23" s="20"/>
      <c r="C23" s="21">
        <f>SUM(C17:C22)</f>
        <v>355</v>
      </c>
      <c r="D23" s="74"/>
      <c r="E23" s="22">
        <f>SUM(E17:E22)</f>
        <v>6052500</v>
      </c>
      <c r="F23" s="23"/>
      <c r="G23" s="21">
        <f>SUM(G17:G22)</f>
        <v>209</v>
      </c>
      <c r="H23" s="76"/>
      <c r="I23" s="24">
        <f>SUM(I17:I22)</f>
        <v>3570000</v>
      </c>
      <c r="J23" s="20"/>
      <c r="K23" s="21">
        <f>SUM(K17:K22)</f>
        <v>108</v>
      </c>
      <c r="L23" s="74"/>
      <c r="M23" s="22">
        <f>SUM(M17:M22)</f>
        <v>1767000</v>
      </c>
      <c r="N23" s="23"/>
      <c r="O23" s="21">
        <f>SUM(O17:O22)</f>
        <v>71</v>
      </c>
      <c r="P23" s="76"/>
      <c r="Q23" s="24">
        <f>SUM(Q17:Q22)</f>
        <v>1408800</v>
      </c>
      <c r="R23" s="20"/>
      <c r="S23" s="21">
        <f>SUM(S17:S22)</f>
        <v>31</v>
      </c>
      <c r="T23" s="74"/>
      <c r="U23" s="22">
        <f>SUM(U17:U22)</f>
        <v>556200</v>
      </c>
      <c r="V23" s="23"/>
      <c r="W23" s="21">
        <f>SUM(W17:W22)</f>
        <v>26</v>
      </c>
      <c r="X23" s="76"/>
      <c r="Y23" s="26">
        <f>SUM(Y17:Y22)</f>
        <v>514500</v>
      </c>
      <c r="Z23" s="28">
        <f>Y23+U23+Q23+M23+I23+E23</f>
        <v>13869000</v>
      </c>
      <c r="AA23" s="10">
        <f>SUM(AA17:AA22)</f>
        <v>800</v>
      </c>
    </row>
    <row r="24" spans="1:28">
      <c r="G24" s="13">
        <f>SUM(G23+C23)</f>
        <v>564</v>
      </c>
      <c r="I24" s="11">
        <f>I23+E23</f>
        <v>9622500</v>
      </c>
      <c r="O24" s="13">
        <f>K23+O23</f>
        <v>179</v>
      </c>
      <c r="Q24" s="11">
        <f>Q23+M23</f>
        <v>3175800</v>
      </c>
      <c r="W24" s="13">
        <f>W23+S23</f>
        <v>57</v>
      </c>
      <c r="Y24" s="11">
        <f>Y23+U23</f>
        <v>1070700</v>
      </c>
      <c r="Z24" s="90">
        <f>SUM(Z17:Z22)</f>
        <v>800</v>
      </c>
    </row>
    <row r="25" spans="1:28">
      <c r="G25" s="73">
        <f>G24/800</f>
        <v>0.70499999999999996</v>
      </c>
      <c r="O25" s="73">
        <f>O24/800</f>
        <v>0.22375</v>
      </c>
      <c r="W25" s="73">
        <f>W24/800</f>
        <v>7.1249999999999994E-2</v>
      </c>
    </row>
    <row r="28" spans="1:28" ht="15.75" thickBot="1">
      <c r="A28" s="12" t="s">
        <v>185</v>
      </c>
    </row>
    <row r="29" spans="1:28" ht="15.75">
      <c r="A29" s="248" t="s">
        <v>32</v>
      </c>
      <c r="B29" s="249" t="s">
        <v>29</v>
      </c>
      <c r="C29" s="250"/>
      <c r="D29" s="250"/>
      <c r="E29" s="250"/>
      <c r="F29" s="250"/>
      <c r="G29" s="250"/>
      <c r="H29" s="251"/>
      <c r="I29" s="252"/>
      <c r="J29" s="253" t="s">
        <v>30</v>
      </c>
      <c r="K29" s="254"/>
      <c r="L29" s="254"/>
      <c r="M29" s="254"/>
      <c r="N29" s="254"/>
      <c r="O29" s="254"/>
      <c r="P29" s="255"/>
      <c r="Q29" s="256"/>
      <c r="R29" s="257" t="s">
        <v>31</v>
      </c>
      <c r="S29" s="258"/>
      <c r="T29" s="258"/>
      <c r="U29" s="258"/>
      <c r="V29" s="258"/>
      <c r="W29" s="258"/>
      <c r="X29" s="259"/>
      <c r="Y29" s="259"/>
      <c r="Z29" s="260" t="s">
        <v>41</v>
      </c>
      <c r="AA29" s="10"/>
      <c r="AB29" s="10"/>
    </row>
    <row r="30" spans="1:28" ht="15.75">
      <c r="A30" s="248"/>
      <c r="B30" s="91" t="s">
        <v>33</v>
      </c>
      <c r="C30" s="94" t="s">
        <v>191</v>
      </c>
      <c r="D30" s="72" t="s">
        <v>192</v>
      </c>
      <c r="E30" s="92" t="s">
        <v>193</v>
      </c>
      <c r="F30" s="92" t="s">
        <v>34</v>
      </c>
      <c r="G30" s="94" t="s">
        <v>191</v>
      </c>
      <c r="H30" s="72" t="s">
        <v>192</v>
      </c>
      <c r="I30" s="93" t="s">
        <v>193</v>
      </c>
      <c r="J30" s="91" t="s">
        <v>33</v>
      </c>
      <c r="K30" s="94" t="s">
        <v>191</v>
      </c>
      <c r="L30" s="72" t="s">
        <v>192</v>
      </c>
      <c r="M30" s="92" t="s">
        <v>193</v>
      </c>
      <c r="N30" s="92" t="s">
        <v>34</v>
      </c>
      <c r="O30" s="94" t="s">
        <v>191</v>
      </c>
      <c r="P30" s="72" t="s">
        <v>192</v>
      </c>
      <c r="Q30" s="93" t="s">
        <v>193</v>
      </c>
      <c r="R30" s="91" t="s">
        <v>33</v>
      </c>
      <c r="S30" s="94" t="s">
        <v>191</v>
      </c>
      <c r="T30" s="72" t="s">
        <v>192</v>
      </c>
      <c r="U30" s="92" t="s">
        <v>193</v>
      </c>
      <c r="V30" s="92" t="s">
        <v>34</v>
      </c>
      <c r="W30" s="94" t="s">
        <v>191</v>
      </c>
      <c r="X30" s="72" t="s">
        <v>192</v>
      </c>
      <c r="Y30" s="93" t="s">
        <v>193</v>
      </c>
      <c r="Z30" s="261"/>
      <c r="AA30" s="10"/>
      <c r="AB30" s="10"/>
    </row>
    <row r="31" spans="1:28">
      <c r="A31" s="16" t="s">
        <v>35</v>
      </c>
      <c r="B31" s="18">
        <f>750*30</f>
        <v>22500</v>
      </c>
      <c r="C31" s="15">
        <v>35</v>
      </c>
      <c r="D31" s="72">
        <v>0.46</v>
      </c>
      <c r="E31" s="14">
        <f>B31*C31</f>
        <v>787500</v>
      </c>
      <c r="F31" s="14">
        <f>800*30</f>
        <v>24000</v>
      </c>
      <c r="G31" s="15">
        <v>24</v>
      </c>
      <c r="H31" s="75">
        <v>0.21</v>
      </c>
      <c r="I31" s="19">
        <f>G31*F31</f>
        <v>576000</v>
      </c>
      <c r="J31" s="18">
        <f>780*30</f>
        <v>23400</v>
      </c>
      <c r="K31" s="15">
        <v>6</v>
      </c>
      <c r="L31" s="72">
        <v>7.0000000000000007E-2</v>
      </c>
      <c r="M31" s="14">
        <f>K31*J31</f>
        <v>140400</v>
      </c>
      <c r="N31" s="14">
        <f>840*30</f>
        <v>25200</v>
      </c>
      <c r="O31" s="15">
        <v>8</v>
      </c>
      <c r="P31" s="75">
        <v>0.09</v>
      </c>
      <c r="Q31" s="19">
        <f>O31*N31</f>
        <v>201600</v>
      </c>
      <c r="R31" s="18">
        <f>780*30</f>
        <v>23400</v>
      </c>
      <c r="S31" s="15">
        <v>8</v>
      </c>
      <c r="T31" s="72">
        <v>0.09</v>
      </c>
      <c r="U31" s="14">
        <f>S31*R31</f>
        <v>187200</v>
      </c>
      <c r="V31" s="14">
        <f>840*30</f>
        <v>25200</v>
      </c>
      <c r="W31" s="15">
        <v>6</v>
      </c>
      <c r="X31" s="75">
        <v>7.0000000000000007E-2</v>
      </c>
      <c r="Y31" s="25">
        <f>W31*V31</f>
        <v>151200</v>
      </c>
      <c r="Z31" s="27">
        <f t="shared" ref="Z31:Z36" si="36">C31+G31+K31+O31+S31+W31</f>
        <v>87</v>
      </c>
      <c r="AA31" s="12">
        <v>87</v>
      </c>
    </row>
    <row r="32" spans="1:28">
      <c r="A32" s="16" t="s">
        <v>36</v>
      </c>
      <c r="B32" s="18">
        <f>550*30</f>
        <v>16500</v>
      </c>
      <c r="C32" s="15">
        <v>35</v>
      </c>
      <c r="D32" s="72">
        <v>0.32</v>
      </c>
      <c r="E32" s="14">
        <f t="shared" ref="E32:E36" si="37">B32*C32</f>
        <v>577500</v>
      </c>
      <c r="F32" s="14">
        <f>600*30</f>
        <v>18000</v>
      </c>
      <c r="G32" s="15">
        <v>34</v>
      </c>
      <c r="H32" s="75">
        <v>0.26</v>
      </c>
      <c r="I32" s="19">
        <f t="shared" ref="I32:I36" si="38">G32*F32</f>
        <v>612000</v>
      </c>
      <c r="J32" s="18">
        <f>590*30</f>
        <v>17700</v>
      </c>
      <c r="K32" s="15">
        <v>19</v>
      </c>
      <c r="L32" s="72">
        <v>0.16</v>
      </c>
      <c r="M32" s="14">
        <f t="shared" ref="M32:M36" si="39">K32*J32</f>
        <v>336300</v>
      </c>
      <c r="N32" s="14">
        <f>650*30</f>
        <v>19500</v>
      </c>
      <c r="O32" s="15">
        <v>19</v>
      </c>
      <c r="P32" s="75">
        <v>0.16</v>
      </c>
      <c r="Q32" s="19">
        <f t="shared" ref="Q32:Q36" si="40">O32*N32</f>
        <v>370500</v>
      </c>
      <c r="R32" s="18">
        <f>590*30</f>
        <v>17700</v>
      </c>
      <c r="S32" s="15">
        <v>6</v>
      </c>
      <c r="T32" s="72">
        <v>0.05</v>
      </c>
      <c r="U32" s="14">
        <f t="shared" ref="U32:U36" si="41">S32*R32</f>
        <v>106200</v>
      </c>
      <c r="V32" s="14">
        <f>650*30</f>
        <v>19500</v>
      </c>
      <c r="W32" s="15">
        <v>6</v>
      </c>
      <c r="X32" s="75">
        <v>0.05</v>
      </c>
      <c r="Y32" s="25">
        <f t="shared" ref="Y32:Y36" si="42">W32*V32</f>
        <v>117000</v>
      </c>
      <c r="Z32" s="27">
        <f t="shared" si="36"/>
        <v>119</v>
      </c>
      <c r="AA32" s="12">
        <v>119</v>
      </c>
    </row>
    <row r="33" spans="1:28">
      <c r="A33" s="16" t="s">
        <v>37</v>
      </c>
      <c r="B33" s="18">
        <f>450*30</f>
        <v>13500</v>
      </c>
      <c r="C33" s="15">
        <v>80</v>
      </c>
      <c r="D33" s="72">
        <v>0.56000000000000005</v>
      </c>
      <c r="E33" s="14">
        <f t="shared" si="37"/>
        <v>1080000</v>
      </c>
      <c r="F33" s="14">
        <f>500*30</f>
        <v>15000</v>
      </c>
      <c r="G33" s="15">
        <v>51</v>
      </c>
      <c r="H33" s="75">
        <v>0.28000000000000003</v>
      </c>
      <c r="I33" s="19">
        <f t="shared" si="38"/>
        <v>765000</v>
      </c>
      <c r="J33" s="18">
        <f>490*30</f>
        <v>14700</v>
      </c>
      <c r="K33" s="15">
        <v>9</v>
      </c>
      <c r="L33" s="72">
        <v>0.06</v>
      </c>
      <c r="M33" s="14">
        <f t="shared" si="39"/>
        <v>132300</v>
      </c>
      <c r="N33" s="14">
        <f>550*30</f>
        <v>16500</v>
      </c>
      <c r="O33" s="15">
        <v>11</v>
      </c>
      <c r="P33" s="75">
        <v>7.0000000000000007E-2</v>
      </c>
      <c r="Q33" s="19">
        <f t="shared" si="40"/>
        <v>181500</v>
      </c>
      <c r="R33" s="18">
        <f>490*30</f>
        <v>14700</v>
      </c>
      <c r="S33" s="15">
        <v>3</v>
      </c>
      <c r="T33" s="72">
        <v>0.02</v>
      </c>
      <c r="U33" s="14">
        <f t="shared" si="41"/>
        <v>44100</v>
      </c>
      <c r="V33" s="14">
        <f>550*30</f>
        <v>16500</v>
      </c>
      <c r="W33" s="15">
        <v>2</v>
      </c>
      <c r="X33" s="75">
        <v>0.01</v>
      </c>
      <c r="Y33" s="25">
        <f t="shared" si="42"/>
        <v>33000</v>
      </c>
      <c r="Z33" s="27">
        <f t="shared" si="36"/>
        <v>156</v>
      </c>
      <c r="AA33" s="12">
        <v>156</v>
      </c>
    </row>
    <row r="34" spans="1:28">
      <c r="A34" s="16" t="s">
        <v>38</v>
      </c>
      <c r="B34" s="18">
        <f>250*30</f>
        <v>7500</v>
      </c>
      <c r="C34" s="15">
        <v>35</v>
      </c>
      <c r="D34" s="72">
        <v>0.4</v>
      </c>
      <c r="E34" s="14">
        <f t="shared" si="37"/>
        <v>262500</v>
      </c>
      <c r="F34" s="14">
        <f>300*30</f>
        <v>9000</v>
      </c>
      <c r="G34" s="15">
        <v>34</v>
      </c>
      <c r="H34" s="75">
        <v>0.33</v>
      </c>
      <c r="I34" s="19">
        <f t="shared" si="38"/>
        <v>306000</v>
      </c>
      <c r="J34" s="18">
        <f t="shared" ref="J34:J35" si="43">280*30</f>
        <v>8400</v>
      </c>
      <c r="K34" s="15">
        <v>16</v>
      </c>
      <c r="L34" s="72">
        <v>0.17</v>
      </c>
      <c r="M34" s="14">
        <f t="shared" si="39"/>
        <v>134400</v>
      </c>
      <c r="N34" s="14">
        <f t="shared" ref="N34:N35" si="44">340*30</f>
        <v>10200</v>
      </c>
      <c r="O34" s="15">
        <v>9</v>
      </c>
      <c r="P34" s="75">
        <v>0.1</v>
      </c>
      <c r="Q34" s="19">
        <f t="shared" si="40"/>
        <v>91800</v>
      </c>
      <c r="R34" s="18">
        <f t="shared" ref="R34:R35" si="45">280*30</f>
        <v>8400</v>
      </c>
      <c r="S34" s="15">
        <f t="shared" ref="S34:S36" si="46">AA34*T34</f>
        <v>0</v>
      </c>
      <c r="T34" s="72">
        <v>0</v>
      </c>
      <c r="U34" s="14">
        <f t="shared" si="41"/>
        <v>0</v>
      </c>
      <c r="V34" s="14">
        <f t="shared" ref="V34:V35" si="47">340*30</f>
        <v>10200</v>
      </c>
      <c r="W34" s="15">
        <f t="shared" ref="W34:W36" si="48">AA34*X34</f>
        <v>0</v>
      </c>
      <c r="X34" s="75">
        <v>0</v>
      </c>
      <c r="Y34" s="25">
        <f t="shared" si="42"/>
        <v>0</v>
      </c>
      <c r="Z34" s="27">
        <f t="shared" si="36"/>
        <v>94</v>
      </c>
      <c r="AA34" s="12">
        <v>94</v>
      </c>
    </row>
    <row r="35" spans="1:28" ht="30">
      <c r="A35" s="16" t="s">
        <v>39</v>
      </c>
      <c r="B35" s="18">
        <f>250*30</f>
        <v>7500</v>
      </c>
      <c r="C35" s="15">
        <v>6</v>
      </c>
      <c r="D35" s="72">
        <v>0.2</v>
      </c>
      <c r="E35" s="14">
        <f t="shared" si="37"/>
        <v>45000</v>
      </c>
      <c r="F35" s="14">
        <f t="shared" ref="F35:F36" si="49">300*30</f>
        <v>9000</v>
      </c>
      <c r="G35" s="15">
        <v>13</v>
      </c>
      <c r="H35" s="75">
        <v>0.4</v>
      </c>
      <c r="I35" s="19">
        <f t="shared" si="38"/>
        <v>117000</v>
      </c>
      <c r="J35" s="18">
        <f t="shared" si="43"/>
        <v>8400</v>
      </c>
      <c r="K35" s="15">
        <v>3</v>
      </c>
      <c r="L35" s="72">
        <v>0.1</v>
      </c>
      <c r="M35" s="14">
        <f t="shared" si="39"/>
        <v>25200</v>
      </c>
      <c r="N35" s="14">
        <f t="shared" si="44"/>
        <v>10200</v>
      </c>
      <c r="O35" s="15">
        <v>3</v>
      </c>
      <c r="P35" s="75">
        <v>0.1</v>
      </c>
      <c r="Q35" s="19">
        <f t="shared" si="40"/>
        <v>30600</v>
      </c>
      <c r="R35" s="18">
        <f t="shared" si="45"/>
        <v>8400</v>
      </c>
      <c r="S35" s="15">
        <v>3</v>
      </c>
      <c r="T35" s="72">
        <v>0.1</v>
      </c>
      <c r="U35" s="14">
        <f t="shared" si="41"/>
        <v>25200</v>
      </c>
      <c r="V35" s="14">
        <f t="shared" si="47"/>
        <v>10200</v>
      </c>
      <c r="W35" s="15">
        <v>3</v>
      </c>
      <c r="X35" s="75">
        <v>0.1</v>
      </c>
      <c r="Y35" s="25">
        <f t="shared" si="42"/>
        <v>30600</v>
      </c>
      <c r="Z35" s="27">
        <f t="shared" si="36"/>
        <v>31</v>
      </c>
      <c r="AA35" s="12">
        <v>31</v>
      </c>
    </row>
    <row r="36" spans="1:28">
      <c r="A36" s="16" t="s">
        <v>40</v>
      </c>
      <c r="B36" s="18">
        <f>250*30</f>
        <v>7500</v>
      </c>
      <c r="C36" s="15">
        <v>6</v>
      </c>
      <c r="D36" s="72">
        <v>0.5</v>
      </c>
      <c r="E36" s="14">
        <f t="shared" si="37"/>
        <v>45000</v>
      </c>
      <c r="F36" s="14">
        <f t="shared" si="49"/>
        <v>9000</v>
      </c>
      <c r="G36" s="15">
        <v>4</v>
      </c>
      <c r="H36" s="75">
        <v>0.25</v>
      </c>
      <c r="I36" s="19">
        <f t="shared" si="38"/>
        <v>36000</v>
      </c>
      <c r="J36" s="18">
        <f>250*30</f>
        <v>7500</v>
      </c>
      <c r="K36" s="15">
        <v>3</v>
      </c>
      <c r="L36" s="72">
        <v>0.25</v>
      </c>
      <c r="M36" s="14">
        <f t="shared" si="39"/>
        <v>22500</v>
      </c>
      <c r="N36" s="14">
        <f>250*30</f>
        <v>7500</v>
      </c>
      <c r="O36" s="15">
        <f t="shared" ref="O36" si="50">AA36*P36</f>
        <v>0</v>
      </c>
      <c r="P36" s="75">
        <v>0</v>
      </c>
      <c r="Q36" s="19">
        <f t="shared" si="40"/>
        <v>0</v>
      </c>
      <c r="R36" s="18">
        <f>250*30</f>
        <v>7500</v>
      </c>
      <c r="S36" s="15">
        <f t="shared" si="46"/>
        <v>0</v>
      </c>
      <c r="T36" s="72">
        <v>0</v>
      </c>
      <c r="U36" s="14">
        <f t="shared" si="41"/>
        <v>0</v>
      </c>
      <c r="V36" s="14">
        <f>250*30</f>
        <v>7500</v>
      </c>
      <c r="W36" s="15">
        <f t="shared" si="48"/>
        <v>0</v>
      </c>
      <c r="X36" s="75">
        <v>0</v>
      </c>
      <c r="Y36" s="25">
        <f t="shared" si="42"/>
        <v>0</v>
      </c>
      <c r="Z36" s="27">
        <f t="shared" si="36"/>
        <v>13</v>
      </c>
      <c r="AA36" s="12">
        <v>13</v>
      </c>
    </row>
    <row r="37" spans="1:28" ht="16.5" thickBot="1">
      <c r="A37" s="17" t="s">
        <v>41</v>
      </c>
      <c r="B37" s="20"/>
      <c r="C37" s="21">
        <f>SUM(C31:C36)</f>
        <v>197</v>
      </c>
      <c r="D37" s="74"/>
      <c r="E37" s="22">
        <f>SUM(E31:E36)</f>
        <v>2797500</v>
      </c>
      <c r="F37" s="23"/>
      <c r="G37" s="21">
        <f>SUM(G31:G36)</f>
        <v>160</v>
      </c>
      <c r="H37" s="76"/>
      <c r="I37" s="24">
        <f>SUM(I31:I36)</f>
        <v>2412000</v>
      </c>
      <c r="J37" s="20"/>
      <c r="K37" s="21">
        <f>SUM(K31:K36)</f>
        <v>56</v>
      </c>
      <c r="L37" s="74"/>
      <c r="M37" s="22">
        <f>SUM(M31:M36)</f>
        <v>791100</v>
      </c>
      <c r="N37" s="23"/>
      <c r="O37" s="21">
        <f>SUM(O31:O36)</f>
        <v>50</v>
      </c>
      <c r="P37" s="76"/>
      <c r="Q37" s="24">
        <f>SUM(Q31:Q36)</f>
        <v>876000</v>
      </c>
      <c r="R37" s="20"/>
      <c r="S37" s="21">
        <f>SUM(S31:S36)</f>
        <v>20</v>
      </c>
      <c r="T37" s="74"/>
      <c r="U37" s="22">
        <f>SUM(U31:U36)</f>
        <v>362700</v>
      </c>
      <c r="V37" s="23"/>
      <c r="W37" s="21">
        <f>SUM(W31:W36)</f>
        <v>17</v>
      </c>
      <c r="X37" s="76"/>
      <c r="Y37" s="26">
        <f>SUM(Y31:Y36)</f>
        <v>331800</v>
      </c>
      <c r="Z37" s="28">
        <f>Y37+U37+Q37+M37+I37+E37</f>
        <v>7571100</v>
      </c>
      <c r="AA37" s="10"/>
      <c r="AB37" s="10"/>
    </row>
    <row r="38" spans="1:28">
      <c r="G38" s="13">
        <f>SUM(G37+C37)</f>
        <v>357</v>
      </c>
      <c r="I38" s="11">
        <f>I37+E37</f>
        <v>5209500</v>
      </c>
      <c r="O38" s="13">
        <f>K37+O37</f>
        <v>106</v>
      </c>
      <c r="Q38" s="11">
        <f>Q37+M37</f>
        <v>1667100</v>
      </c>
      <c r="W38" s="13">
        <f>S37+W37</f>
        <v>37</v>
      </c>
      <c r="Y38" s="11">
        <f>Y37+U37</f>
        <v>694500</v>
      </c>
      <c r="Z38" s="12">
        <v>500</v>
      </c>
    </row>
    <row r="39" spans="1:28">
      <c r="G39" s="73">
        <f>G38/Z38</f>
        <v>0.71399999999999997</v>
      </c>
      <c r="O39" s="73">
        <f>O38/500</f>
        <v>0.21199999999999999</v>
      </c>
      <c r="W39" s="73">
        <f>W38/500</f>
        <v>7.3999999999999996E-2</v>
      </c>
      <c r="Y39" s="11"/>
    </row>
    <row r="43" spans="1:28" ht="15.75" thickBot="1">
      <c r="A43" s="12" t="s">
        <v>186</v>
      </c>
    </row>
    <row r="44" spans="1:28" ht="15.75">
      <c r="A44" s="248" t="s">
        <v>32</v>
      </c>
      <c r="B44" s="249" t="s">
        <v>29</v>
      </c>
      <c r="C44" s="250"/>
      <c r="D44" s="250"/>
      <c r="E44" s="250"/>
      <c r="F44" s="250"/>
      <c r="G44" s="250"/>
      <c r="H44" s="251"/>
      <c r="I44" s="252"/>
      <c r="J44" s="253" t="s">
        <v>30</v>
      </c>
      <c r="K44" s="254"/>
      <c r="L44" s="254"/>
      <c r="M44" s="254"/>
      <c r="N44" s="254"/>
      <c r="O44" s="254"/>
      <c r="P44" s="255"/>
      <c r="Q44" s="256"/>
      <c r="R44" s="257" t="s">
        <v>31</v>
      </c>
      <c r="S44" s="258"/>
      <c r="T44" s="258"/>
      <c r="U44" s="258"/>
      <c r="V44" s="258"/>
      <c r="W44" s="258"/>
      <c r="X44" s="259"/>
      <c r="Y44" s="259"/>
      <c r="Z44" s="260" t="s">
        <v>41</v>
      </c>
      <c r="AA44" s="10"/>
      <c r="AB44" s="10"/>
    </row>
    <row r="45" spans="1:28" ht="15.75">
      <c r="A45" s="248"/>
      <c r="B45" s="91" t="s">
        <v>33</v>
      </c>
      <c r="C45" s="94" t="s">
        <v>191</v>
      </c>
      <c r="D45" s="72" t="s">
        <v>192</v>
      </c>
      <c r="E45" s="92" t="s">
        <v>193</v>
      </c>
      <c r="F45" s="92" t="s">
        <v>34</v>
      </c>
      <c r="G45" s="94" t="s">
        <v>191</v>
      </c>
      <c r="H45" s="72" t="s">
        <v>192</v>
      </c>
      <c r="I45" s="93" t="s">
        <v>193</v>
      </c>
      <c r="J45" s="91" t="s">
        <v>33</v>
      </c>
      <c r="K45" s="94" t="s">
        <v>191</v>
      </c>
      <c r="L45" s="72" t="s">
        <v>192</v>
      </c>
      <c r="M45" s="92" t="s">
        <v>193</v>
      </c>
      <c r="N45" s="92" t="s">
        <v>34</v>
      </c>
      <c r="O45" s="94" t="s">
        <v>191</v>
      </c>
      <c r="P45" s="72" t="s">
        <v>192</v>
      </c>
      <c r="Q45" s="93" t="s">
        <v>193</v>
      </c>
      <c r="R45" s="91" t="s">
        <v>33</v>
      </c>
      <c r="S45" s="94" t="s">
        <v>191</v>
      </c>
      <c r="T45" s="72" t="s">
        <v>192</v>
      </c>
      <c r="U45" s="92" t="s">
        <v>193</v>
      </c>
      <c r="V45" s="92" t="s">
        <v>34</v>
      </c>
      <c r="W45" s="94" t="s">
        <v>191</v>
      </c>
      <c r="X45" s="72" t="s">
        <v>192</v>
      </c>
      <c r="Y45" s="93" t="s">
        <v>193</v>
      </c>
      <c r="Z45" s="261"/>
      <c r="AA45" s="10"/>
      <c r="AB45" s="10"/>
    </row>
    <row r="46" spans="1:28">
      <c r="A46" s="16" t="s">
        <v>35</v>
      </c>
      <c r="B46" s="18">
        <f>750*30</f>
        <v>22500</v>
      </c>
      <c r="C46" s="15">
        <f>AA46*D46</f>
        <v>81</v>
      </c>
      <c r="D46" s="72">
        <v>0.54</v>
      </c>
      <c r="E46" s="14">
        <f>B46*C46</f>
        <v>1822500</v>
      </c>
      <c r="F46" s="14">
        <f>800*30</f>
        <v>24000</v>
      </c>
      <c r="G46" s="15">
        <v>33</v>
      </c>
      <c r="H46" s="75">
        <v>0.21</v>
      </c>
      <c r="I46" s="19">
        <f>G46*F46</f>
        <v>792000</v>
      </c>
      <c r="J46" s="18">
        <f>780*30</f>
        <v>23400</v>
      </c>
      <c r="K46" s="15">
        <f>AA46*L46</f>
        <v>12</v>
      </c>
      <c r="L46" s="72">
        <v>0.08</v>
      </c>
      <c r="M46" s="14">
        <f>K46*J46</f>
        <v>280800</v>
      </c>
      <c r="N46" s="14">
        <f>840*30</f>
        <v>25200</v>
      </c>
      <c r="O46" s="15">
        <f>AA46*P46</f>
        <v>12</v>
      </c>
      <c r="P46" s="75">
        <v>0.08</v>
      </c>
      <c r="Q46" s="19">
        <f>O46*N46</f>
        <v>302400</v>
      </c>
      <c r="R46" s="18">
        <f>780*30</f>
        <v>23400</v>
      </c>
      <c r="S46" s="15">
        <f>AA46*T46</f>
        <v>6</v>
      </c>
      <c r="T46" s="72">
        <v>0.04</v>
      </c>
      <c r="U46" s="14">
        <f>S46*R46</f>
        <v>140400</v>
      </c>
      <c r="V46" s="14">
        <f>840*30</f>
        <v>25200</v>
      </c>
      <c r="W46" s="15">
        <f>AA46*X46</f>
        <v>6</v>
      </c>
      <c r="X46" s="75">
        <v>0.04</v>
      </c>
      <c r="Y46" s="25">
        <f>W46*V46</f>
        <v>151200</v>
      </c>
      <c r="Z46" s="27">
        <f t="shared" ref="Z46:Z51" si="51">C46+G46+K46+O46+S46+W46</f>
        <v>150</v>
      </c>
      <c r="AA46" s="12">
        <f>500*AB17</f>
        <v>150</v>
      </c>
    </row>
    <row r="47" spans="1:28">
      <c r="A47" s="16" t="s">
        <v>36</v>
      </c>
      <c r="B47" s="18">
        <f>550*30</f>
        <v>16500</v>
      </c>
      <c r="C47" s="15">
        <v>88</v>
      </c>
      <c r="D47" s="72">
        <v>0.39</v>
      </c>
      <c r="E47" s="14">
        <f t="shared" ref="E47:E51" si="52">B47*C47</f>
        <v>1452000</v>
      </c>
      <c r="F47" s="14">
        <f>600*30</f>
        <v>18000</v>
      </c>
      <c r="G47" s="15">
        <v>58</v>
      </c>
      <c r="H47" s="75">
        <v>0.26</v>
      </c>
      <c r="I47" s="19">
        <f t="shared" ref="I47:I51" si="53">G47*F47</f>
        <v>1044000</v>
      </c>
      <c r="J47" s="18">
        <f>590*30</f>
        <v>17700</v>
      </c>
      <c r="K47" s="15">
        <v>38</v>
      </c>
      <c r="L47" s="72">
        <v>0.17</v>
      </c>
      <c r="M47" s="14">
        <f t="shared" ref="M47:M51" si="54">K47*J47</f>
        <v>672600</v>
      </c>
      <c r="N47" s="14">
        <f>650*30</f>
        <v>19500</v>
      </c>
      <c r="O47" s="15">
        <v>25</v>
      </c>
      <c r="P47" s="75">
        <v>0.11</v>
      </c>
      <c r="Q47" s="19">
        <f t="shared" ref="Q47:Q51" si="55">O47*N47</f>
        <v>487500</v>
      </c>
      <c r="R47" s="18">
        <f>590*30</f>
        <v>17700</v>
      </c>
      <c r="S47" s="15">
        <f t="shared" ref="S47:S51" si="56">AA47*T47</f>
        <v>9</v>
      </c>
      <c r="T47" s="72">
        <v>0.04</v>
      </c>
      <c r="U47" s="14">
        <f t="shared" ref="U47:U50" si="57">S47*R47</f>
        <v>159300</v>
      </c>
      <c r="V47" s="14">
        <f>650*30</f>
        <v>19500</v>
      </c>
      <c r="W47" s="15">
        <v>7</v>
      </c>
      <c r="X47" s="75">
        <v>0.03</v>
      </c>
      <c r="Y47" s="25">
        <f t="shared" ref="Y47:Y51" si="58">W47*V47</f>
        <v>136500</v>
      </c>
      <c r="Z47" s="27">
        <f t="shared" si="51"/>
        <v>225</v>
      </c>
      <c r="AA47" s="12">
        <f>500*AB18</f>
        <v>225</v>
      </c>
    </row>
    <row r="48" spans="1:28">
      <c r="A48" s="16" t="s">
        <v>37</v>
      </c>
      <c r="B48" s="18">
        <f>450*30</f>
        <v>13500</v>
      </c>
      <c r="C48" s="15">
        <v>18</v>
      </c>
      <c r="D48" s="72">
        <v>0.6</v>
      </c>
      <c r="E48" s="14">
        <f t="shared" si="52"/>
        <v>243000</v>
      </c>
      <c r="F48" s="14">
        <f>500*30</f>
        <v>15000</v>
      </c>
      <c r="G48" s="15">
        <v>9</v>
      </c>
      <c r="H48" s="75">
        <v>0.28000000000000003</v>
      </c>
      <c r="I48" s="19">
        <f t="shared" si="53"/>
        <v>135000</v>
      </c>
      <c r="J48" s="18">
        <f>490*30</f>
        <v>14700</v>
      </c>
      <c r="K48" s="15">
        <v>1</v>
      </c>
      <c r="L48" s="72">
        <v>0.04</v>
      </c>
      <c r="M48" s="14">
        <f t="shared" si="54"/>
        <v>14700</v>
      </c>
      <c r="N48" s="14">
        <f>550*30</f>
        <v>16500</v>
      </c>
      <c r="O48" s="15">
        <v>2</v>
      </c>
      <c r="P48" s="75">
        <v>0.04</v>
      </c>
      <c r="Q48" s="19">
        <f t="shared" si="55"/>
        <v>33000</v>
      </c>
      <c r="R48" s="18">
        <f>490*30</f>
        <v>14700</v>
      </c>
      <c r="S48" s="15">
        <v>1</v>
      </c>
      <c r="T48" s="72">
        <v>0.02</v>
      </c>
      <c r="U48" s="14">
        <f t="shared" si="57"/>
        <v>14700</v>
      </c>
      <c r="V48" s="14">
        <f>550*30</f>
        <v>16500</v>
      </c>
      <c r="W48" s="15">
        <v>1</v>
      </c>
      <c r="X48" s="75">
        <v>0.02</v>
      </c>
      <c r="Y48" s="25">
        <f t="shared" si="58"/>
        <v>16500</v>
      </c>
      <c r="Z48" s="27">
        <f t="shared" si="51"/>
        <v>32</v>
      </c>
      <c r="AA48" s="12">
        <v>32</v>
      </c>
    </row>
    <row r="49" spans="1:28">
      <c r="A49" s="16" t="s">
        <v>38</v>
      </c>
      <c r="B49" s="18">
        <f>250*30</f>
        <v>7500</v>
      </c>
      <c r="C49" s="15">
        <v>11</v>
      </c>
      <c r="D49" s="72">
        <v>0.4</v>
      </c>
      <c r="E49" s="14">
        <f t="shared" si="52"/>
        <v>82500</v>
      </c>
      <c r="F49" s="14">
        <f>300*30</f>
        <v>9000</v>
      </c>
      <c r="G49" s="15">
        <v>11</v>
      </c>
      <c r="H49" s="75">
        <v>0.34</v>
      </c>
      <c r="I49" s="19">
        <f t="shared" si="53"/>
        <v>99000</v>
      </c>
      <c r="J49" s="18">
        <f t="shared" ref="J49:J50" si="59">280*30</f>
        <v>8400</v>
      </c>
      <c r="K49" s="15">
        <v>6</v>
      </c>
      <c r="L49" s="72">
        <v>0.18</v>
      </c>
      <c r="M49" s="14">
        <f t="shared" si="54"/>
        <v>50400</v>
      </c>
      <c r="N49" s="14">
        <f t="shared" ref="N49:N50" si="60">340*30</f>
        <v>10200</v>
      </c>
      <c r="O49" s="15">
        <v>3</v>
      </c>
      <c r="P49" s="75">
        <v>0.08</v>
      </c>
      <c r="Q49" s="19">
        <f t="shared" si="55"/>
        <v>30600</v>
      </c>
      <c r="R49" s="18">
        <f t="shared" ref="R49:R50" si="61">280*30</f>
        <v>8400</v>
      </c>
      <c r="S49" s="15">
        <f t="shared" si="56"/>
        <v>0</v>
      </c>
      <c r="T49" s="72">
        <v>0</v>
      </c>
      <c r="U49" s="14">
        <f t="shared" si="57"/>
        <v>0</v>
      </c>
      <c r="V49" s="14">
        <f t="shared" ref="V49:V50" si="62">340*30</f>
        <v>10200</v>
      </c>
      <c r="W49" s="15">
        <f t="shared" ref="W49:W51" si="63">AA49*X49</f>
        <v>0</v>
      </c>
      <c r="X49" s="75">
        <v>0</v>
      </c>
      <c r="Y49" s="25">
        <f t="shared" si="58"/>
        <v>0</v>
      </c>
      <c r="Z49" s="27">
        <f t="shared" si="51"/>
        <v>31</v>
      </c>
      <c r="AA49" s="12">
        <v>31</v>
      </c>
    </row>
    <row r="50" spans="1:28" ht="30">
      <c r="A50" s="16" t="s">
        <v>39</v>
      </c>
      <c r="B50" s="18">
        <f>250*30</f>
        <v>7500</v>
      </c>
      <c r="C50" s="15">
        <v>6</v>
      </c>
      <c r="D50" s="72">
        <v>0.2</v>
      </c>
      <c r="E50" s="14">
        <f t="shared" si="52"/>
        <v>45000</v>
      </c>
      <c r="F50" s="14">
        <f t="shared" ref="F50:F51" si="64">300*30</f>
        <v>9000</v>
      </c>
      <c r="G50" s="15">
        <v>13</v>
      </c>
      <c r="H50" s="75">
        <v>0.4</v>
      </c>
      <c r="I50" s="19">
        <f t="shared" si="53"/>
        <v>117000</v>
      </c>
      <c r="J50" s="18">
        <f t="shared" si="59"/>
        <v>8400</v>
      </c>
      <c r="K50" s="15">
        <v>3</v>
      </c>
      <c r="L50" s="72">
        <v>0.1</v>
      </c>
      <c r="M50" s="14">
        <f t="shared" si="54"/>
        <v>25200</v>
      </c>
      <c r="N50" s="14">
        <f t="shared" si="60"/>
        <v>10200</v>
      </c>
      <c r="O50" s="15">
        <v>3</v>
      </c>
      <c r="P50" s="75">
        <v>0.1</v>
      </c>
      <c r="Q50" s="19">
        <f t="shared" si="55"/>
        <v>30600</v>
      </c>
      <c r="R50" s="18">
        <f t="shared" si="61"/>
        <v>8400</v>
      </c>
      <c r="S50" s="15">
        <v>3</v>
      </c>
      <c r="T50" s="72">
        <v>0.1</v>
      </c>
      <c r="U50" s="14">
        <f t="shared" si="57"/>
        <v>25200</v>
      </c>
      <c r="V50" s="14">
        <f t="shared" si="62"/>
        <v>10200</v>
      </c>
      <c r="W50" s="15">
        <v>3</v>
      </c>
      <c r="X50" s="75">
        <v>0.1</v>
      </c>
      <c r="Y50" s="25">
        <f t="shared" si="58"/>
        <v>30600</v>
      </c>
      <c r="Z50" s="27">
        <f t="shared" si="51"/>
        <v>31</v>
      </c>
      <c r="AA50" s="12">
        <v>31</v>
      </c>
    </row>
    <row r="51" spans="1:28">
      <c r="A51" s="16" t="s">
        <v>40</v>
      </c>
      <c r="B51" s="18">
        <f>250*30</f>
        <v>7500</v>
      </c>
      <c r="C51" s="15">
        <v>16</v>
      </c>
      <c r="D51" s="72">
        <v>0.5</v>
      </c>
      <c r="E51" s="14">
        <f t="shared" si="52"/>
        <v>120000</v>
      </c>
      <c r="F51" s="14">
        <f t="shared" si="64"/>
        <v>9000</v>
      </c>
      <c r="G51" s="15">
        <v>8</v>
      </c>
      <c r="H51" s="75">
        <v>0.26</v>
      </c>
      <c r="I51" s="19">
        <f t="shared" si="53"/>
        <v>72000</v>
      </c>
      <c r="J51" s="18">
        <f>250*30</f>
        <v>7500</v>
      </c>
      <c r="K51" s="15">
        <f t="shared" ref="K51" si="65">AA51*L51</f>
        <v>7.4399999999999995</v>
      </c>
      <c r="L51" s="72">
        <v>0.24</v>
      </c>
      <c r="M51" s="14">
        <f t="shared" si="54"/>
        <v>55799.999999999993</v>
      </c>
      <c r="N51" s="14">
        <f>250*30</f>
        <v>7500</v>
      </c>
      <c r="O51" s="15">
        <v>0</v>
      </c>
      <c r="P51" s="75">
        <f t="shared" ref="P51" si="66">O51/Z51</f>
        <v>0</v>
      </c>
      <c r="Q51" s="19">
        <f t="shared" si="55"/>
        <v>0</v>
      </c>
      <c r="R51" s="18">
        <f>250*30</f>
        <v>7500</v>
      </c>
      <c r="S51" s="15">
        <f t="shared" si="56"/>
        <v>0</v>
      </c>
      <c r="T51" s="72">
        <v>0</v>
      </c>
      <c r="U51" s="14">
        <f>S51*R51</f>
        <v>0</v>
      </c>
      <c r="V51" s="14">
        <f>250*30</f>
        <v>7500</v>
      </c>
      <c r="W51" s="15">
        <f t="shared" si="63"/>
        <v>0</v>
      </c>
      <c r="X51" s="75">
        <v>0</v>
      </c>
      <c r="Y51" s="25">
        <f t="shared" si="58"/>
        <v>0</v>
      </c>
      <c r="Z51" s="27">
        <f t="shared" si="51"/>
        <v>31.439999999999998</v>
      </c>
      <c r="AA51" s="12">
        <v>31</v>
      </c>
    </row>
    <row r="52" spans="1:28" ht="16.5" thickBot="1">
      <c r="A52" s="17" t="s">
        <v>41</v>
      </c>
      <c r="B52" s="20"/>
      <c r="C52" s="21">
        <f>SUM(C46:C51)</f>
        <v>220</v>
      </c>
      <c r="D52" s="74"/>
      <c r="E52" s="22">
        <f>SUM(E46:E51)</f>
        <v>3765000</v>
      </c>
      <c r="F52" s="23"/>
      <c r="G52" s="21">
        <f>SUM(G46:G51)</f>
        <v>132</v>
      </c>
      <c r="H52" s="76"/>
      <c r="I52" s="24">
        <f>SUM(I46:I51)</f>
        <v>2259000</v>
      </c>
      <c r="J52" s="20"/>
      <c r="K52" s="21">
        <f>SUM(K46:K51)</f>
        <v>67.44</v>
      </c>
      <c r="L52" s="74"/>
      <c r="M52" s="22">
        <f>SUM(M46:M51)</f>
        <v>1099500</v>
      </c>
      <c r="N52" s="23"/>
      <c r="O52" s="21">
        <f>SUM(O46:O51)</f>
        <v>45</v>
      </c>
      <c r="P52" s="76"/>
      <c r="Q52" s="24">
        <f>SUM(Q46:Q51)</f>
        <v>884100</v>
      </c>
      <c r="R52" s="20"/>
      <c r="S52" s="21">
        <f>SUM(S46:S51)</f>
        <v>19</v>
      </c>
      <c r="T52" s="74"/>
      <c r="U52" s="22">
        <f>SUM(U46:U51)</f>
        <v>339600</v>
      </c>
      <c r="V52" s="23"/>
      <c r="W52" s="21">
        <f>SUM(W46:W51)</f>
        <v>17</v>
      </c>
      <c r="X52" s="76"/>
      <c r="Y52" s="26">
        <f>SUM(Y46:Y51)</f>
        <v>334800</v>
      </c>
      <c r="Z52" s="28">
        <f>Y52+U52+Q52+M52+I52+E52</f>
        <v>8682000</v>
      </c>
      <c r="AA52" s="10"/>
      <c r="AB52" s="10"/>
    </row>
    <row r="53" spans="1:28">
      <c r="G53" s="13">
        <f>SUM(G52+C52)</f>
        <v>352</v>
      </c>
      <c r="I53" s="11">
        <f>I52+E52</f>
        <v>6024000</v>
      </c>
      <c r="O53" s="13">
        <f>K52+O52</f>
        <v>112.44</v>
      </c>
      <c r="Q53" s="11">
        <f>Q52+M52</f>
        <v>1983600</v>
      </c>
      <c r="W53" s="13">
        <f>W52+S52</f>
        <v>36</v>
      </c>
      <c r="Y53" s="11">
        <f>Y52+U52</f>
        <v>674400</v>
      </c>
      <c r="Z53" s="12">
        <v>500</v>
      </c>
    </row>
    <row r="54" spans="1:28">
      <c r="G54" s="73">
        <f>G53/500</f>
        <v>0.70399999999999996</v>
      </c>
      <c r="O54" s="73">
        <f>O53/500</f>
        <v>0.22488</v>
      </c>
      <c r="W54" s="73">
        <f>W53/500</f>
        <v>7.1999999999999995E-2</v>
      </c>
    </row>
    <row r="57" spans="1:28" ht="15.75" thickBot="1">
      <c r="A57" s="12" t="s">
        <v>187</v>
      </c>
    </row>
    <row r="58" spans="1:28" ht="15.75">
      <c r="A58" s="248" t="s">
        <v>32</v>
      </c>
      <c r="B58" s="249" t="s">
        <v>29</v>
      </c>
      <c r="C58" s="250"/>
      <c r="D58" s="250"/>
      <c r="E58" s="250"/>
      <c r="F58" s="250"/>
      <c r="G58" s="250"/>
      <c r="H58" s="251"/>
      <c r="I58" s="252"/>
      <c r="J58" s="253" t="s">
        <v>30</v>
      </c>
      <c r="K58" s="254"/>
      <c r="L58" s="254"/>
      <c r="M58" s="254"/>
      <c r="N58" s="254"/>
      <c r="O58" s="254"/>
      <c r="P58" s="255"/>
      <c r="Q58" s="256"/>
      <c r="R58" s="257" t="s">
        <v>31</v>
      </c>
      <c r="S58" s="258"/>
      <c r="T58" s="258"/>
      <c r="U58" s="258"/>
      <c r="V58" s="258"/>
      <c r="W58" s="258"/>
      <c r="X58" s="259"/>
      <c r="Y58" s="259"/>
      <c r="Z58" s="260" t="s">
        <v>41</v>
      </c>
      <c r="AA58" s="10"/>
      <c r="AB58" s="10"/>
    </row>
    <row r="59" spans="1:28" ht="15.75">
      <c r="A59" s="248"/>
      <c r="B59" s="91" t="s">
        <v>33</v>
      </c>
      <c r="C59" s="94" t="s">
        <v>191</v>
      </c>
      <c r="D59" s="72" t="s">
        <v>192</v>
      </c>
      <c r="E59" s="92" t="s">
        <v>193</v>
      </c>
      <c r="F59" s="92" t="s">
        <v>34</v>
      </c>
      <c r="G59" s="94" t="s">
        <v>191</v>
      </c>
      <c r="H59" s="72" t="s">
        <v>192</v>
      </c>
      <c r="I59" s="93" t="s">
        <v>193</v>
      </c>
      <c r="J59" s="91" t="s">
        <v>33</v>
      </c>
      <c r="K59" s="94" t="s">
        <v>191</v>
      </c>
      <c r="L59" s="72" t="s">
        <v>192</v>
      </c>
      <c r="M59" s="92" t="s">
        <v>193</v>
      </c>
      <c r="N59" s="92" t="s">
        <v>34</v>
      </c>
      <c r="O59" s="94" t="s">
        <v>191</v>
      </c>
      <c r="P59" s="72" t="s">
        <v>192</v>
      </c>
      <c r="Q59" s="93" t="s">
        <v>193</v>
      </c>
      <c r="R59" s="91" t="s">
        <v>33</v>
      </c>
      <c r="S59" s="94" t="s">
        <v>191</v>
      </c>
      <c r="T59" s="72" t="s">
        <v>192</v>
      </c>
      <c r="U59" s="92" t="s">
        <v>193</v>
      </c>
      <c r="V59" s="92" t="s">
        <v>34</v>
      </c>
      <c r="W59" s="94" t="s">
        <v>191</v>
      </c>
      <c r="X59" s="72" t="s">
        <v>192</v>
      </c>
      <c r="Y59" s="93" t="s">
        <v>193</v>
      </c>
      <c r="Z59" s="261"/>
      <c r="AA59" s="10"/>
      <c r="AB59" s="10"/>
    </row>
    <row r="60" spans="1:28">
      <c r="A60" s="16" t="s">
        <v>35</v>
      </c>
      <c r="B60" s="18">
        <f>750*30</f>
        <v>22500</v>
      </c>
      <c r="C60" s="15">
        <v>105</v>
      </c>
      <c r="D60" s="72">
        <v>0.46</v>
      </c>
      <c r="E60" s="14">
        <f>B60*C60</f>
        <v>2362500</v>
      </c>
      <c r="F60" s="14">
        <f>800*30</f>
        <v>24000</v>
      </c>
      <c r="G60" s="15">
        <v>49</v>
      </c>
      <c r="H60" s="75">
        <v>0.21</v>
      </c>
      <c r="I60" s="19">
        <f>G60*F60</f>
        <v>1176000</v>
      </c>
      <c r="J60" s="18">
        <f>780*30</f>
        <v>23400</v>
      </c>
      <c r="K60" s="15">
        <v>16</v>
      </c>
      <c r="L60" s="72">
        <v>7.0000000000000007E-2</v>
      </c>
      <c r="M60" s="14">
        <f>K60*J60</f>
        <v>374400</v>
      </c>
      <c r="N60" s="14">
        <f>840*30</f>
        <v>25200</v>
      </c>
      <c r="O60" s="15">
        <v>21</v>
      </c>
      <c r="P60" s="75">
        <v>0.09</v>
      </c>
      <c r="Q60" s="19">
        <f>O60*N60</f>
        <v>529200</v>
      </c>
      <c r="R60" s="18">
        <f>780*30</f>
        <v>23400</v>
      </c>
      <c r="S60" s="15">
        <v>21</v>
      </c>
      <c r="T60" s="72">
        <v>0.09</v>
      </c>
      <c r="U60" s="14">
        <f>S60*R60</f>
        <v>491400</v>
      </c>
      <c r="V60" s="14">
        <f>840*30</f>
        <v>25200</v>
      </c>
      <c r="W60" s="15">
        <v>16</v>
      </c>
      <c r="X60" s="75">
        <v>7.0000000000000007E-2</v>
      </c>
      <c r="Y60" s="25">
        <f>W60*V60</f>
        <v>403200</v>
      </c>
      <c r="Z60" s="27">
        <f t="shared" ref="Z60:Z65" si="67">C60+G60+K60+O60+S60+W60</f>
        <v>228</v>
      </c>
      <c r="AA60" s="12">
        <v>228</v>
      </c>
    </row>
    <row r="61" spans="1:28">
      <c r="A61" s="16" t="s">
        <v>36</v>
      </c>
      <c r="B61" s="18">
        <f>550*30</f>
        <v>16500</v>
      </c>
      <c r="C61" s="15">
        <v>100</v>
      </c>
      <c r="D61" s="72">
        <v>0.32</v>
      </c>
      <c r="E61" s="14">
        <f t="shared" ref="E61:E65" si="68">B61*C61</f>
        <v>1650000</v>
      </c>
      <c r="F61" s="14">
        <f>600*30</f>
        <v>18000</v>
      </c>
      <c r="G61" s="15">
        <v>81</v>
      </c>
      <c r="H61" s="75">
        <v>0.26</v>
      </c>
      <c r="I61" s="19">
        <f t="shared" ref="I61:I65" si="69">G61*F61</f>
        <v>1458000</v>
      </c>
      <c r="J61" s="18">
        <f>590*30</f>
        <v>17700</v>
      </c>
      <c r="K61" s="15">
        <v>49</v>
      </c>
      <c r="L61" s="72">
        <v>0.16</v>
      </c>
      <c r="M61" s="14">
        <f t="shared" ref="M61:M65" si="70">K61*J61</f>
        <v>867300</v>
      </c>
      <c r="N61" s="14">
        <f>650*30</f>
        <v>19500</v>
      </c>
      <c r="O61" s="15">
        <v>49</v>
      </c>
      <c r="P61" s="75">
        <v>0.16</v>
      </c>
      <c r="Q61" s="19">
        <f t="shared" ref="Q61:Q65" si="71">O61*N61</f>
        <v>955500</v>
      </c>
      <c r="R61" s="18">
        <f>590*30</f>
        <v>17700</v>
      </c>
      <c r="S61" s="15">
        <v>15</v>
      </c>
      <c r="T61" s="72">
        <v>0.05</v>
      </c>
      <c r="U61" s="14">
        <f t="shared" ref="U61:U65" si="72">S61*R61</f>
        <v>265500</v>
      </c>
      <c r="V61" s="14">
        <f>650*30</f>
        <v>19500</v>
      </c>
      <c r="W61" s="15">
        <v>15</v>
      </c>
      <c r="X61" s="75">
        <v>0.05</v>
      </c>
      <c r="Y61" s="25">
        <f t="shared" ref="Y61:Y65" si="73">W61*V61</f>
        <v>292500</v>
      </c>
      <c r="Z61" s="27">
        <f t="shared" si="67"/>
        <v>309</v>
      </c>
      <c r="AA61" s="12">
        <v>309</v>
      </c>
    </row>
    <row r="62" spans="1:28">
      <c r="A62" s="16" t="s">
        <v>37</v>
      </c>
      <c r="B62" s="18">
        <f>450*30</f>
        <v>13500</v>
      </c>
      <c r="C62" s="15">
        <v>228</v>
      </c>
      <c r="D62" s="72">
        <v>0.56000000000000005</v>
      </c>
      <c r="E62" s="14">
        <f t="shared" si="68"/>
        <v>3078000</v>
      </c>
      <c r="F62" s="14">
        <f>500*30</f>
        <v>15000</v>
      </c>
      <c r="G62" s="15">
        <v>114</v>
      </c>
      <c r="H62" s="75">
        <v>0.28000000000000003</v>
      </c>
      <c r="I62" s="19">
        <f t="shared" si="69"/>
        <v>1710000</v>
      </c>
      <c r="J62" s="18">
        <f>490*30</f>
        <v>14700</v>
      </c>
      <c r="K62" s="15">
        <v>24</v>
      </c>
      <c r="L62" s="72">
        <v>0.06</v>
      </c>
      <c r="M62" s="14">
        <f t="shared" si="70"/>
        <v>352800</v>
      </c>
      <c r="N62" s="14">
        <f>550*30</f>
        <v>16500</v>
      </c>
      <c r="O62" s="15">
        <v>28</v>
      </c>
      <c r="P62" s="75">
        <v>7.0000000000000007E-2</v>
      </c>
      <c r="Q62" s="19">
        <f t="shared" si="71"/>
        <v>462000</v>
      </c>
      <c r="R62" s="18">
        <f>490*30</f>
        <v>14700</v>
      </c>
      <c r="S62" s="15">
        <v>8</v>
      </c>
      <c r="T62" s="72">
        <v>0.02</v>
      </c>
      <c r="U62" s="14">
        <f t="shared" si="72"/>
        <v>117600</v>
      </c>
      <c r="V62" s="14">
        <f>550*30</f>
        <v>16500</v>
      </c>
      <c r="W62" s="15">
        <v>4</v>
      </c>
      <c r="X62" s="75">
        <v>0.01</v>
      </c>
      <c r="Y62" s="25">
        <f t="shared" si="73"/>
        <v>66000</v>
      </c>
      <c r="Z62" s="27">
        <f t="shared" si="67"/>
        <v>406</v>
      </c>
      <c r="AA62" s="12">
        <v>406</v>
      </c>
    </row>
    <row r="63" spans="1:28">
      <c r="A63" s="16" t="s">
        <v>38</v>
      </c>
      <c r="B63" s="18">
        <f>250*30</f>
        <v>7500</v>
      </c>
      <c r="C63" s="15">
        <v>98</v>
      </c>
      <c r="D63" s="72">
        <v>0.4</v>
      </c>
      <c r="E63" s="14">
        <f t="shared" si="68"/>
        <v>735000</v>
      </c>
      <c r="F63" s="14">
        <f>300*30</f>
        <v>9000</v>
      </c>
      <c r="G63" s="15">
        <v>80</v>
      </c>
      <c r="H63" s="75">
        <v>0.33</v>
      </c>
      <c r="I63" s="19">
        <f t="shared" si="69"/>
        <v>720000</v>
      </c>
      <c r="J63" s="18">
        <f t="shared" ref="J63:J64" si="74">280*30</f>
        <v>8400</v>
      </c>
      <c r="K63" s="15">
        <v>41</v>
      </c>
      <c r="L63" s="72">
        <v>0.17</v>
      </c>
      <c r="M63" s="14">
        <f t="shared" si="70"/>
        <v>344400</v>
      </c>
      <c r="N63" s="14">
        <f t="shared" ref="N63:N64" si="75">340*30</f>
        <v>10200</v>
      </c>
      <c r="O63" s="15">
        <v>24</v>
      </c>
      <c r="P63" s="75">
        <v>0.1</v>
      </c>
      <c r="Q63" s="19">
        <f t="shared" si="71"/>
        <v>244800</v>
      </c>
      <c r="R63" s="18">
        <f t="shared" ref="R63:R64" si="76">280*30</f>
        <v>8400</v>
      </c>
      <c r="S63" s="15">
        <f t="shared" ref="S63" si="77">AA63*T63</f>
        <v>0</v>
      </c>
      <c r="T63" s="72">
        <v>0</v>
      </c>
      <c r="U63" s="14">
        <f t="shared" si="72"/>
        <v>0</v>
      </c>
      <c r="V63" s="14">
        <f t="shared" ref="V63:V64" si="78">340*30</f>
        <v>10200</v>
      </c>
      <c r="W63" s="15">
        <f t="shared" ref="W63:W65" si="79">AA63*X63</f>
        <v>0</v>
      </c>
      <c r="X63" s="75">
        <v>0</v>
      </c>
      <c r="Y63" s="25">
        <f t="shared" si="73"/>
        <v>0</v>
      </c>
      <c r="Z63" s="27">
        <f t="shared" si="67"/>
        <v>243</v>
      </c>
      <c r="AA63" s="12">
        <v>243</v>
      </c>
    </row>
    <row r="64" spans="1:28" ht="30">
      <c r="A64" s="16" t="s">
        <v>39</v>
      </c>
      <c r="B64" s="18">
        <f>250*30</f>
        <v>7500</v>
      </c>
      <c r="C64" s="15">
        <v>17</v>
      </c>
      <c r="D64" s="72">
        <v>0.2</v>
      </c>
      <c r="E64" s="14">
        <f t="shared" si="68"/>
        <v>127500</v>
      </c>
      <c r="F64" s="14">
        <f t="shared" ref="F64:F65" si="80">300*30</f>
        <v>9000</v>
      </c>
      <c r="G64" s="15">
        <v>32</v>
      </c>
      <c r="H64" s="75">
        <v>0.4</v>
      </c>
      <c r="I64" s="19">
        <f t="shared" si="69"/>
        <v>288000</v>
      </c>
      <c r="J64" s="18">
        <f t="shared" si="74"/>
        <v>8400</v>
      </c>
      <c r="K64" s="15">
        <v>8</v>
      </c>
      <c r="L64" s="72">
        <v>0.1</v>
      </c>
      <c r="M64" s="14">
        <f t="shared" si="70"/>
        <v>67200</v>
      </c>
      <c r="N64" s="14">
        <f t="shared" si="75"/>
        <v>10200</v>
      </c>
      <c r="O64" s="15">
        <v>8</v>
      </c>
      <c r="P64" s="75">
        <v>0.1</v>
      </c>
      <c r="Q64" s="19">
        <f t="shared" si="71"/>
        <v>81600</v>
      </c>
      <c r="R64" s="18">
        <f t="shared" si="76"/>
        <v>8400</v>
      </c>
      <c r="S64" s="15">
        <v>8</v>
      </c>
      <c r="T64" s="72">
        <v>0.1</v>
      </c>
      <c r="U64" s="14">
        <f t="shared" si="72"/>
        <v>67200</v>
      </c>
      <c r="V64" s="14">
        <f t="shared" si="78"/>
        <v>10200</v>
      </c>
      <c r="W64" s="15">
        <v>8</v>
      </c>
      <c r="X64" s="75">
        <v>0.1</v>
      </c>
      <c r="Y64" s="25">
        <f t="shared" si="73"/>
        <v>81600</v>
      </c>
      <c r="Z64" s="27">
        <f t="shared" si="67"/>
        <v>81</v>
      </c>
      <c r="AA64" s="12">
        <v>81</v>
      </c>
    </row>
    <row r="65" spans="1:28">
      <c r="A65" s="16" t="s">
        <v>40</v>
      </c>
      <c r="B65" s="18">
        <f>250*30</f>
        <v>7500</v>
      </c>
      <c r="C65" s="15">
        <v>17</v>
      </c>
      <c r="D65" s="72">
        <v>0.5</v>
      </c>
      <c r="E65" s="14">
        <f t="shared" si="68"/>
        <v>127500</v>
      </c>
      <c r="F65" s="14">
        <f t="shared" si="80"/>
        <v>9000</v>
      </c>
      <c r="G65" s="15">
        <v>8</v>
      </c>
      <c r="H65" s="75">
        <v>0.25</v>
      </c>
      <c r="I65" s="19">
        <f t="shared" si="69"/>
        <v>72000</v>
      </c>
      <c r="J65" s="18">
        <f>250*30</f>
        <v>7500</v>
      </c>
      <c r="K65" s="15">
        <v>8</v>
      </c>
      <c r="L65" s="72">
        <v>0.25</v>
      </c>
      <c r="M65" s="14">
        <f t="shared" si="70"/>
        <v>60000</v>
      </c>
      <c r="N65" s="14">
        <f>250*30</f>
        <v>7500</v>
      </c>
      <c r="O65" s="15">
        <f t="shared" ref="O65" si="81">AA65*P65</f>
        <v>0</v>
      </c>
      <c r="P65" s="75">
        <v>0</v>
      </c>
      <c r="Q65" s="19">
        <f t="shared" si="71"/>
        <v>0</v>
      </c>
      <c r="R65" s="18">
        <f>250*30</f>
        <v>7500</v>
      </c>
      <c r="S65" s="15">
        <f t="shared" ref="S65" si="82">AA65*T65</f>
        <v>0</v>
      </c>
      <c r="T65" s="72">
        <v>0</v>
      </c>
      <c r="U65" s="14">
        <f t="shared" si="72"/>
        <v>0</v>
      </c>
      <c r="V65" s="14">
        <f>250*30</f>
        <v>7500</v>
      </c>
      <c r="W65" s="15">
        <f t="shared" si="79"/>
        <v>0</v>
      </c>
      <c r="X65" s="75">
        <v>0</v>
      </c>
      <c r="Y65" s="25">
        <f t="shared" si="73"/>
        <v>0</v>
      </c>
      <c r="Z65" s="27">
        <f t="shared" si="67"/>
        <v>33</v>
      </c>
      <c r="AA65" s="12">
        <v>33</v>
      </c>
    </row>
    <row r="66" spans="1:28" ht="16.5" thickBot="1">
      <c r="A66" s="17" t="s">
        <v>41</v>
      </c>
      <c r="B66" s="20"/>
      <c r="C66" s="21">
        <f>SUM(C60:C65)</f>
        <v>565</v>
      </c>
      <c r="D66" s="74"/>
      <c r="E66" s="22">
        <f>SUM(E60:E65)</f>
        <v>8080500</v>
      </c>
      <c r="F66" s="23"/>
      <c r="G66" s="21">
        <f>SUM(G60:G65)</f>
        <v>364</v>
      </c>
      <c r="H66" s="76"/>
      <c r="I66" s="24">
        <f>SUM(I60:I65)</f>
        <v>5424000</v>
      </c>
      <c r="J66" s="20"/>
      <c r="K66" s="21">
        <f>SUM(K60:K65)</f>
        <v>146</v>
      </c>
      <c r="L66" s="74"/>
      <c r="M66" s="22">
        <f>SUM(M60:M65)</f>
        <v>2066100</v>
      </c>
      <c r="N66" s="23"/>
      <c r="O66" s="21">
        <f>SUM(O60:O65)</f>
        <v>130</v>
      </c>
      <c r="P66" s="76"/>
      <c r="Q66" s="24">
        <f>SUM(Q60:Q65)</f>
        <v>2273100</v>
      </c>
      <c r="R66" s="20"/>
      <c r="S66" s="21">
        <f>SUM(S60:S65)</f>
        <v>52</v>
      </c>
      <c r="T66" s="74"/>
      <c r="U66" s="22">
        <f>SUM(U60:U65)</f>
        <v>941700</v>
      </c>
      <c r="V66" s="23"/>
      <c r="W66" s="21">
        <f>SUM(W60:W65)</f>
        <v>43</v>
      </c>
      <c r="X66" s="76"/>
      <c r="Y66" s="26">
        <f>SUM(Y60:Y65)</f>
        <v>843300</v>
      </c>
      <c r="Z66" s="28">
        <f>Y66+U66+Q66+M66+I66+E66</f>
        <v>19628700</v>
      </c>
      <c r="AA66" s="10"/>
      <c r="AB66" s="10"/>
    </row>
    <row r="67" spans="1:28">
      <c r="G67" s="13">
        <f>SUM(G66+C66)</f>
        <v>929</v>
      </c>
      <c r="I67" s="11">
        <f>I66+E66</f>
        <v>13504500</v>
      </c>
      <c r="O67" s="13">
        <f>K66+O66</f>
        <v>276</v>
      </c>
      <c r="Q67" s="11">
        <f>Q66+M66</f>
        <v>4339200</v>
      </c>
      <c r="W67" s="13">
        <f>S66+W66</f>
        <v>95</v>
      </c>
      <c r="Y67" s="11">
        <f>Y66+U66</f>
        <v>1785000</v>
      </c>
      <c r="Z67" s="12">
        <v>1300</v>
      </c>
    </row>
    <row r="68" spans="1:28">
      <c r="G68" s="73">
        <f>G67/Z67</f>
        <v>0.71461538461538465</v>
      </c>
      <c r="O68" s="73">
        <f>O67/1300</f>
        <v>0.21230769230769231</v>
      </c>
      <c r="W68" s="73">
        <f>W67/1300</f>
        <v>7.3076923076923081E-2</v>
      </c>
      <c r="Y68" s="11"/>
    </row>
    <row r="70" spans="1:28" ht="15.75" thickBot="1">
      <c r="A70" s="12" t="s">
        <v>188</v>
      </c>
    </row>
    <row r="71" spans="1:28" ht="15.75">
      <c r="A71" s="248" t="s">
        <v>32</v>
      </c>
      <c r="B71" s="249" t="s">
        <v>29</v>
      </c>
      <c r="C71" s="250"/>
      <c r="D71" s="250"/>
      <c r="E71" s="250"/>
      <c r="F71" s="250"/>
      <c r="G71" s="250"/>
      <c r="H71" s="251"/>
      <c r="I71" s="252"/>
      <c r="J71" s="253" t="s">
        <v>30</v>
      </c>
      <c r="K71" s="254"/>
      <c r="L71" s="254"/>
      <c r="M71" s="254"/>
      <c r="N71" s="254"/>
      <c r="O71" s="254"/>
      <c r="P71" s="255"/>
      <c r="Q71" s="256"/>
      <c r="R71" s="257" t="s">
        <v>31</v>
      </c>
      <c r="S71" s="258"/>
      <c r="T71" s="258"/>
      <c r="U71" s="258"/>
      <c r="V71" s="258"/>
      <c r="W71" s="258"/>
      <c r="X71" s="259"/>
      <c r="Y71" s="259"/>
      <c r="Z71" s="260" t="s">
        <v>41</v>
      </c>
      <c r="AA71" s="10"/>
      <c r="AB71" s="10"/>
    </row>
    <row r="72" spans="1:28" ht="15.75">
      <c r="A72" s="248"/>
      <c r="B72" s="91" t="s">
        <v>33</v>
      </c>
      <c r="C72" s="94" t="s">
        <v>191</v>
      </c>
      <c r="D72" s="72" t="s">
        <v>192</v>
      </c>
      <c r="E72" s="92" t="s">
        <v>193</v>
      </c>
      <c r="F72" s="92" t="s">
        <v>34</v>
      </c>
      <c r="G72" s="94" t="s">
        <v>191</v>
      </c>
      <c r="H72" s="72" t="s">
        <v>192</v>
      </c>
      <c r="I72" s="93" t="s">
        <v>193</v>
      </c>
      <c r="J72" s="91" t="s">
        <v>33</v>
      </c>
      <c r="K72" s="94" t="s">
        <v>191</v>
      </c>
      <c r="L72" s="72" t="s">
        <v>192</v>
      </c>
      <c r="M72" s="92" t="s">
        <v>193</v>
      </c>
      <c r="N72" s="92" t="s">
        <v>34</v>
      </c>
      <c r="O72" s="94" t="s">
        <v>191</v>
      </c>
      <c r="P72" s="72" t="s">
        <v>192</v>
      </c>
      <c r="Q72" s="93" t="s">
        <v>193</v>
      </c>
      <c r="R72" s="91" t="s">
        <v>33</v>
      </c>
      <c r="S72" s="94" t="s">
        <v>191</v>
      </c>
      <c r="T72" s="72" t="s">
        <v>192</v>
      </c>
      <c r="U72" s="92" t="s">
        <v>193</v>
      </c>
      <c r="V72" s="92" t="s">
        <v>34</v>
      </c>
      <c r="W72" s="94" t="s">
        <v>191</v>
      </c>
      <c r="X72" s="72" t="s">
        <v>192</v>
      </c>
      <c r="Y72" s="93" t="s">
        <v>193</v>
      </c>
      <c r="Z72" s="261"/>
      <c r="AA72" s="10"/>
      <c r="AB72" s="10"/>
    </row>
    <row r="73" spans="1:28">
      <c r="A73" s="16" t="s">
        <v>35</v>
      </c>
      <c r="B73" s="18">
        <f>750*30</f>
        <v>22500</v>
      </c>
      <c r="C73" s="15">
        <v>211</v>
      </c>
      <c r="D73" s="72">
        <v>0.54</v>
      </c>
      <c r="E73" s="14">
        <f>B73*C73</f>
        <v>4747500</v>
      </c>
      <c r="F73" s="14">
        <f>800*30</f>
        <v>24000</v>
      </c>
      <c r="G73" s="15">
        <v>85</v>
      </c>
      <c r="H73" s="75">
        <v>0.21</v>
      </c>
      <c r="I73" s="19">
        <f>G73*F73</f>
        <v>2040000</v>
      </c>
      <c r="J73" s="18">
        <f>780*30</f>
        <v>23400</v>
      </c>
      <c r="K73" s="15">
        <v>31</v>
      </c>
      <c r="L73" s="72">
        <v>0.08</v>
      </c>
      <c r="M73" s="14">
        <f>K73*J73</f>
        <v>725400</v>
      </c>
      <c r="N73" s="14">
        <f>840*30</f>
        <v>25200</v>
      </c>
      <c r="O73" s="15">
        <v>31</v>
      </c>
      <c r="P73" s="75">
        <v>0.08</v>
      </c>
      <c r="Q73" s="19">
        <f>O73*N73</f>
        <v>781200</v>
      </c>
      <c r="R73" s="18">
        <f>780*30</f>
        <v>23400</v>
      </c>
      <c r="S73" s="15">
        <v>16</v>
      </c>
      <c r="T73" s="72">
        <v>0.04</v>
      </c>
      <c r="U73" s="14">
        <f>S73*R73</f>
        <v>374400</v>
      </c>
      <c r="V73" s="14">
        <f>840*30</f>
        <v>25200</v>
      </c>
      <c r="W73" s="15">
        <v>16</v>
      </c>
      <c r="X73" s="75">
        <v>0.04</v>
      </c>
      <c r="Y73" s="25">
        <f>W73*V73</f>
        <v>403200</v>
      </c>
      <c r="Z73" s="27">
        <f t="shared" ref="Z73:Z78" si="83">C73+G73+K73+O73+S73+W73</f>
        <v>390</v>
      </c>
      <c r="AA73" s="12">
        <f>1300*AB17</f>
        <v>390</v>
      </c>
    </row>
    <row r="74" spans="1:28">
      <c r="A74" s="16" t="s">
        <v>36</v>
      </c>
      <c r="B74" s="18">
        <f>550*30</f>
        <v>16500</v>
      </c>
      <c r="C74" s="15">
        <v>228</v>
      </c>
      <c r="D74" s="72">
        <v>0.39</v>
      </c>
      <c r="E74" s="14">
        <f t="shared" ref="E74:E78" si="84">B74*C74</f>
        <v>3762000</v>
      </c>
      <c r="F74" s="14">
        <f>600*30</f>
        <v>18000</v>
      </c>
      <c r="G74" s="15">
        <v>153</v>
      </c>
      <c r="H74" s="75">
        <v>0.26</v>
      </c>
      <c r="I74" s="19">
        <f t="shared" ref="I74:I78" si="85">G74*F74</f>
        <v>2754000</v>
      </c>
      <c r="J74" s="18">
        <f>590*30</f>
        <v>17700</v>
      </c>
      <c r="K74" s="15">
        <v>99</v>
      </c>
      <c r="L74" s="72">
        <v>0.17</v>
      </c>
      <c r="M74" s="14">
        <f t="shared" ref="M74:M78" si="86">K74*J74</f>
        <v>1752300</v>
      </c>
      <c r="N74" s="14">
        <f>650*30</f>
        <v>19500</v>
      </c>
      <c r="O74" s="15">
        <v>64</v>
      </c>
      <c r="P74" s="75">
        <v>0.11</v>
      </c>
      <c r="Q74" s="19">
        <f t="shared" ref="Q74:Q78" si="87">O74*N74</f>
        <v>1248000</v>
      </c>
      <c r="R74" s="18">
        <f>590*30</f>
        <v>17700</v>
      </c>
      <c r="S74" s="15">
        <v>23</v>
      </c>
      <c r="T74" s="72">
        <v>0.04</v>
      </c>
      <c r="U74" s="14">
        <f t="shared" ref="U74:U77" si="88">S74*R74</f>
        <v>407100</v>
      </c>
      <c r="V74" s="14">
        <f>650*30</f>
        <v>19500</v>
      </c>
      <c r="W74" s="15">
        <v>18</v>
      </c>
      <c r="X74" s="75">
        <v>0.03</v>
      </c>
      <c r="Y74" s="25">
        <f t="shared" ref="Y74:Y78" si="89">W74*V74</f>
        <v>351000</v>
      </c>
      <c r="Z74" s="27">
        <f t="shared" si="83"/>
        <v>585</v>
      </c>
      <c r="AA74" s="12">
        <f>1300*AB18</f>
        <v>585</v>
      </c>
    </row>
    <row r="75" spans="1:28">
      <c r="A75" s="16" t="s">
        <v>37</v>
      </c>
      <c r="B75" s="18">
        <f>450*30</f>
        <v>13500</v>
      </c>
      <c r="C75" s="15">
        <v>49</v>
      </c>
      <c r="D75" s="72">
        <v>0.6</v>
      </c>
      <c r="E75" s="14">
        <f t="shared" si="84"/>
        <v>661500</v>
      </c>
      <c r="F75" s="14">
        <f>500*30</f>
        <v>15000</v>
      </c>
      <c r="G75" s="15">
        <v>23</v>
      </c>
      <c r="H75" s="75">
        <v>0.28000000000000003</v>
      </c>
      <c r="I75" s="19">
        <f t="shared" si="85"/>
        <v>345000</v>
      </c>
      <c r="J75" s="18">
        <f>490*30</f>
        <v>14700</v>
      </c>
      <c r="K75" s="15">
        <v>3</v>
      </c>
      <c r="L75" s="72">
        <v>0.04</v>
      </c>
      <c r="M75" s="14">
        <f t="shared" si="86"/>
        <v>44100</v>
      </c>
      <c r="N75" s="14">
        <f>550*30</f>
        <v>16500</v>
      </c>
      <c r="O75" s="15">
        <v>3</v>
      </c>
      <c r="P75" s="75">
        <v>0.04</v>
      </c>
      <c r="Q75" s="19">
        <f t="shared" si="87"/>
        <v>49500</v>
      </c>
      <c r="R75" s="18">
        <f>490*30</f>
        <v>14700</v>
      </c>
      <c r="S75" s="15">
        <v>2</v>
      </c>
      <c r="T75" s="72">
        <v>0.02</v>
      </c>
      <c r="U75" s="14">
        <f t="shared" si="88"/>
        <v>29400</v>
      </c>
      <c r="V75" s="14">
        <f>550*30</f>
        <v>16500</v>
      </c>
      <c r="W75" s="15">
        <v>2</v>
      </c>
      <c r="X75" s="75">
        <v>0.02</v>
      </c>
      <c r="Y75" s="25">
        <f t="shared" si="89"/>
        <v>33000</v>
      </c>
      <c r="Z75" s="27">
        <f t="shared" si="83"/>
        <v>82</v>
      </c>
      <c r="AA75" s="12">
        <v>82</v>
      </c>
    </row>
    <row r="76" spans="1:28">
      <c r="A76" s="16" t="s">
        <v>38</v>
      </c>
      <c r="B76" s="18">
        <f>250*30</f>
        <v>7500</v>
      </c>
      <c r="C76" s="15">
        <v>32</v>
      </c>
      <c r="D76" s="72">
        <v>0.4</v>
      </c>
      <c r="E76" s="14">
        <f t="shared" si="84"/>
        <v>240000</v>
      </c>
      <c r="F76" s="14">
        <f>300*30</f>
        <v>9000</v>
      </c>
      <c r="G76" s="15">
        <v>28</v>
      </c>
      <c r="H76" s="75">
        <v>0.34</v>
      </c>
      <c r="I76" s="19">
        <f t="shared" si="85"/>
        <v>252000</v>
      </c>
      <c r="J76" s="18">
        <f t="shared" ref="J76:J77" si="90">280*30</f>
        <v>8400</v>
      </c>
      <c r="K76" s="15">
        <v>15</v>
      </c>
      <c r="L76" s="72">
        <v>0.18</v>
      </c>
      <c r="M76" s="14">
        <f t="shared" si="86"/>
        <v>126000</v>
      </c>
      <c r="N76" s="14">
        <f t="shared" ref="N76:N77" si="91">340*30</f>
        <v>10200</v>
      </c>
      <c r="O76" s="15">
        <v>6</v>
      </c>
      <c r="P76" s="75">
        <v>0.08</v>
      </c>
      <c r="Q76" s="19">
        <f t="shared" si="87"/>
        <v>61200</v>
      </c>
      <c r="R76" s="18">
        <f t="shared" ref="R76:R77" si="92">280*30</f>
        <v>8400</v>
      </c>
      <c r="S76" s="15">
        <f t="shared" ref="S76" si="93">AA76*T76</f>
        <v>0</v>
      </c>
      <c r="T76" s="72">
        <v>0</v>
      </c>
      <c r="U76" s="14">
        <f t="shared" si="88"/>
        <v>0</v>
      </c>
      <c r="V76" s="14">
        <f t="shared" ref="V76:V77" si="94">340*30</f>
        <v>10200</v>
      </c>
      <c r="W76" s="15">
        <f t="shared" ref="W76" si="95">AA76*X76</f>
        <v>0</v>
      </c>
      <c r="X76" s="75">
        <v>0</v>
      </c>
      <c r="Y76" s="25">
        <f t="shared" si="89"/>
        <v>0</v>
      </c>
      <c r="Z76" s="27">
        <f t="shared" si="83"/>
        <v>81</v>
      </c>
      <c r="AA76" s="12">
        <v>81</v>
      </c>
    </row>
    <row r="77" spans="1:28" ht="30">
      <c r="A77" s="16" t="s">
        <v>39</v>
      </c>
      <c r="B77" s="18">
        <f>250*30</f>
        <v>7500</v>
      </c>
      <c r="C77" s="15">
        <v>16</v>
      </c>
      <c r="D77" s="72">
        <v>0.2</v>
      </c>
      <c r="E77" s="14">
        <f t="shared" si="84"/>
        <v>120000</v>
      </c>
      <c r="F77" s="14">
        <f t="shared" ref="F77:F78" si="96">300*30</f>
        <v>9000</v>
      </c>
      <c r="G77" s="15">
        <v>33</v>
      </c>
      <c r="H77" s="75">
        <v>0.4</v>
      </c>
      <c r="I77" s="19">
        <f t="shared" si="85"/>
        <v>297000</v>
      </c>
      <c r="J77" s="18">
        <f t="shared" si="90"/>
        <v>8400</v>
      </c>
      <c r="K77" s="15">
        <v>8</v>
      </c>
      <c r="L77" s="72">
        <v>0.1</v>
      </c>
      <c r="M77" s="14">
        <f t="shared" si="86"/>
        <v>67200</v>
      </c>
      <c r="N77" s="14">
        <f t="shared" si="91"/>
        <v>10200</v>
      </c>
      <c r="O77" s="15">
        <v>8</v>
      </c>
      <c r="P77" s="75">
        <v>0.1</v>
      </c>
      <c r="Q77" s="19">
        <f t="shared" si="87"/>
        <v>81600</v>
      </c>
      <c r="R77" s="18">
        <f t="shared" si="92"/>
        <v>8400</v>
      </c>
      <c r="S77" s="15">
        <v>8</v>
      </c>
      <c r="T77" s="72">
        <v>0.1</v>
      </c>
      <c r="U77" s="14">
        <f t="shared" si="88"/>
        <v>67200</v>
      </c>
      <c r="V77" s="14">
        <f t="shared" si="94"/>
        <v>10200</v>
      </c>
      <c r="W77" s="15">
        <v>8</v>
      </c>
      <c r="X77" s="75">
        <v>0.1</v>
      </c>
      <c r="Y77" s="25">
        <f t="shared" si="89"/>
        <v>81600</v>
      </c>
      <c r="Z77" s="27">
        <f t="shared" si="83"/>
        <v>81</v>
      </c>
      <c r="AA77" s="12">
        <v>81</v>
      </c>
    </row>
    <row r="78" spans="1:28">
      <c r="A78" s="16" t="s">
        <v>40</v>
      </c>
      <c r="B78" s="18">
        <f>250*30</f>
        <v>7500</v>
      </c>
      <c r="C78" s="15">
        <v>41</v>
      </c>
      <c r="D78" s="72">
        <v>0.5</v>
      </c>
      <c r="E78" s="14">
        <f t="shared" si="84"/>
        <v>307500</v>
      </c>
      <c r="F78" s="14">
        <f t="shared" si="96"/>
        <v>9000</v>
      </c>
      <c r="G78" s="15">
        <v>21</v>
      </c>
      <c r="H78" s="75">
        <v>0.26</v>
      </c>
      <c r="I78" s="19">
        <f t="shared" si="85"/>
        <v>189000</v>
      </c>
      <c r="J78" s="18">
        <f>250*30</f>
        <v>7500</v>
      </c>
      <c r="K78" s="15">
        <v>19</v>
      </c>
      <c r="L78" s="72">
        <v>0.24</v>
      </c>
      <c r="M78" s="14">
        <f t="shared" si="86"/>
        <v>142500</v>
      </c>
      <c r="N78" s="14">
        <f>250*30</f>
        <v>7500</v>
      </c>
      <c r="O78" s="15">
        <v>0</v>
      </c>
      <c r="P78" s="75">
        <f t="shared" ref="P78" si="97">O78/Z78</f>
        <v>0</v>
      </c>
      <c r="Q78" s="19">
        <f t="shared" si="87"/>
        <v>0</v>
      </c>
      <c r="R78" s="18">
        <f>250*30</f>
        <v>7500</v>
      </c>
      <c r="S78" s="15">
        <f t="shared" ref="S78" si="98">AA78*T78</f>
        <v>0</v>
      </c>
      <c r="T78" s="72">
        <v>0</v>
      </c>
      <c r="U78" s="14">
        <f>S78*R78</f>
        <v>0</v>
      </c>
      <c r="V78" s="14">
        <f>250*30</f>
        <v>7500</v>
      </c>
      <c r="W78" s="15">
        <f t="shared" ref="W78" si="99">AA78*X78</f>
        <v>0</v>
      </c>
      <c r="X78" s="75">
        <v>0</v>
      </c>
      <c r="Y78" s="25">
        <f t="shared" si="89"/>
        <v>0</v>
      </c>
      <c r="Z78" s="27">
        <f t="shared" si="83"/>
        <v>81</v>
      </c>
      <c r="AA78" s="12">
        <v>81</v>
      </c>
    </row>
    <row r="79" spans="1:28" ht="16.5" thickBot="1">
      <c r="A79" s="17" t="s">
        <v>41</v>
      </c>
      <c r="B79" s="20"/>
      <c r="C79" s="21">
        <f>SUM(C73:C78)</f>
        <v>577</v>
      </c>
      <c r="D79" s="74"/>
      <c r="E79" s="22">
        <f>SUM(E73:E78)</f>
        <v>9838500</v>
      </c>
      <c r="F79" s="23"/>
      <c r="G79" s="21">
        <f>SUM(G73:G78)</f>
        <v>343</v>
      </c>
      <c r="H79" s="76"/>
      <c r="I79" s="24">
        <f>SUM(I73:I78)</f>
        <v>5877000</v>
      </c>
      <c r="J79" s="20"/>
      <c r="K79" s="21">
        <f>SUM(K73:K78)</f>
        <v>175</v>
      </c>
      <c r="L79" s="74"/>
      <c r="M79" s="22">
        <f>SUM(M73:M78)</f>
        <v>2857500</v>
      </c>
      <c r="N79" s="23"/>
      <c r="O79" s="21">
        <f>SUM(O73:O78)</f>
        <v>112</v>
      </c>
      <c r="P79" s="76"/>
      <c r="Q79" s="24">
        <f>SUM(Q73:Q78)</f>
        <v>2221500</v>
      </c>
      <c r="R79" s="20"/>
      <c r="S79" s="21">
        <f>SUM(S73:S78)</f>
        <v>49</v>
      </c>
      <c r="T79" s="74"/>
      <c r="U79" s="22">
        <f>SUM(U73:U78)</f>
        <v>878100</v>
      </c>
      <c r="V79" s="23"/>
      <c r="W79" s="21">
        <f>SUM(W73:W78)</f>
        <v>44</v>
      </c>
      <c r="X79" s="76"/>
      <c r="Y79" s="26">
        <f>SUM(Y73:Y78)</f>
        <v>868800</v>
      </c>
      <c r="Z79" s="28">
        <f>Y79+U79+Q79+M79+I79+E79</f>
        <v>22541400</v>
      </c>
      <c r="AA79" s="10"/>
      <c r="AB79" s="10"/>
    </row>
    <row r="80" spans="1:28">
      <c r="G80" s="13">
        <f>SUM(G79+C79)</f>
        <v>920</v>
      </c>
      <c r="I80" s="11">
        <f>I79+E79</f>
        <v>15715500</v>
      </c>
      <c r="O80" s="13">
        <f>K79+O79</f>
        <v>287</v>
      </c>
      <c r="Q80" s="11">
        <f>Q79+M79</f>
        <v>5079000</v>
      </c>
      <c r="W80" s="13">
        <f>W79+S79</f>
        <v>93</v>
      </c>
      <c r="Y80" s="11">
        <f>Y79+U79</f>
        <v>1746900</v>
      </c>
      <c r="Z80" s="12">
        <v>1300</v>
      </c>
    </row>
    <row r="81" spans="1:28">
      <c r="G81" s="73">
        <f>G80/1300</f>
        <v>0.70769230769230773</v>
      </c>
      <c r="O81" s="73">
        <f>O80/1300</f>
        <v>0.22076923076923077</v>
      </c>
      <c r="W81" s="73">
        <f>W80/1300</f>
        <v>7.1538461538461537E-2</v>
      </c>
    </row>
    <row r="83" spans="1:28" ht="15.75" thickBot="1">
      <c r="A83" s="12" t="s">
        <v>189</v>
      </c>
    </row>
    <row r="84" spans="1:28" ht="15.75">
      <c r="A84" s="248" t="s">
        <v>32</v>
      </c>
      <c r="B84" s="249" t="s">
        <v>29</v>
      </c>
      <c r="C84" s="250"/>
      <c r="D84" s="250"/>
      <c r="E84" s="250"/>
      <c r="F84" s="250"/>
      <c r="G84" s="250"/>
      <c r="H84" s="251"/>
      <c r="I84" s="252"/>
      <c r="J84" s="253" t="s">
        <v>30</v>
      </c>
      <c r="K84" s="254"/>
      <c r="L84" s="254"/>
      <c r="M84" s="254"/>
      <c r="N84" s="254"/>
      <c r="O84" s="254"/>
      <c r="P84" s="255"/>
      <c r="Q84" s="256"/>
      <c r="R84" s="257" t="s">
        <v>31</v>
      </c>
      <c r="S84" s="258"/>
      <c r="T84" s="258"/>
      <c r="U84" s="258"/>
      <c r="V84" s="258"/>
      <c r="W84" s="258"/>
      <c r="X84" s="259"/>
      <c r="Y84" s="259"/>
      <c r="Z84" s="260" t="s">
        <v>41</v>
      </c>
      <c r="AA84" s="10"/>
      <c r="AB84" s="10"/>
    </row>
    <row r="85" spans="1:28" ht="15.75">
      <c r="A85" s="248"/>
      <c r="B85" s="91" t="s">
        <v>33</v>
      </c>
      <c r="C85" s="94" t="s">
        <v>191</v>
      </c>
      <c r="D85" s="72" t="s">
        <v>192</v>
      </c>
      <c r="E85" s="92" t="s">
        <v>193</v>
      </c>
      <c r="F85" s="92" t="s">
        <v>34</v>
      </c>
      <c r="G85" s="94" t="s">
        <v>191</v>
      </c>
      <c r="H85" s="72" t="s">
        <v>192</v>
      </c>
      <c r="I85" s="93" t="s">
        <v>193</v>
      </c>
      <c r="J85" s="91" t="s">
        <v>33</v>
      </c>
      <c r="K85" s="94" t="s">
        <v>191</v>
      </c>
      <c r="L85" s="72" t="s">
        <v>192</v>
      </c>
      <c r="M85" s="92" t="s">
        <v>193</v>
      </c>
      <c r="N85" s="92" t="s">
        <v>34</v>
      </c>
      <c r="O85" s="94" t="s">
        <v>191</v>
      </c>
      <c r="P85" s="72" t="s">
        <v>192</v>
      </c>
      <c r="Q85" s="93" t="s">
        <v>193</v>
      </c>
      <c r="R85" s="91" t="s">
        <v>33</v>
      </c>
      <c r="S85" s="94" t="s">
        <v>191</v>
      </c>
      <c r="T85" s="72" t="s">
        <v>192</v>
      </c>
      <c r="U85" s="92" t="s">
        <v>193</v>
      </c>
      <c r="V85" s="92" t="s">
        <v>34</v>
      </c>
      <c r="W85" s="94" t="s">
        <v>191</v>
      </c>
      <c r="X85" s="72" t="s">
        <v>192</v>
      </c>
      <c r="Y85" s="93" t="s">
        <v>193</v>
      </c>
      <c r="Z85" s="261"/>
      <c r="AA85" s="10"/>
      <c r="AB85" s="10"/>
    </row>
    <row r="86" spans="1:28">
      <c r="A86" s="16" t="s">
        <v>35</v>
      </c>
      <c r="B86" s="18">
        <f>750*30</f>
        <v>22500</v>
      </c>
      <c r="C86" s="15">
        <v>40</v>
      </c>
      <c r="D86" s="72">
        <f>C86/Z86</f>
        <v>0.5</v>
      </c>
      <c r="E86" s="14">
        <f>B86*C86</f>
        <v>900000</v>
      </c>
      <c r="F86" s="14">
        <f>800*30</f>
        <v>24000</v>
      </c>
      <c r="G86" s="15">
        <v>10</v>
      </c>
      <c r="H86" s="75">
        <f>G86/Z86</f>
        <v>0.125</v>
      </c>
      <c r="I86" s="19">
        <f>G86*F86</f>
        <v>240000</v>
      </c>
      <c r="J86" s="18">
        <f>780*30</f>
        <v>23400</v>
      </c>
      <c r="K86" s="15">
        <v>20</v>
      </c>
      <c r="L86" s="72">
        <f>K86/Z86</f>
        <v>0.25</v>
      </c>
      <c r="M86" s="14">
        <f>K86*J86</f>
        <v>468000</v>
      </c>
      <c r="N86" s="14">
        <f>840*30</f>
        <v>25200</v>
      </c>
      <c r="O86" s="15">
        <v>5</v>
      </c>
      <c r="P86" s="75">
        <f>O86/Z86</f>
        <v>6.25E-2</v>
      </c>
      <c r="Q86" s="19">
        <f>O86*N86</f>
        <v>126000</v>
      </c>
      <c r="R86" s="18">
        <f>780*30</f>
        <v>23400</v>
      </c>
      <c r="S86" s="15">
        <v>5</v>
      </c>
      <c r="T86" s="72">
        <f>S86/Z86</f>
        <v>6.25E-2</v>
      </c>
      <c r="U86" s="14">
        <f>S86*R86</f>
        <v>117000</v>
      </c>
      <c r="V86" s="14">
        <f>840*30</f>
        <v>25200</v>
      </c>
      <c r="W86" s="15">
        <v>0</v>
      </c>
      <c r="X86" s="75">
        <f>W86/Z86</f>
        <v>0</v>
      </c>
      <c r="Y86" s="25">
        <f>W86*V86</f>
        <v>0</v>
      </c>
      <c r="Z86" s="27">
        <f t="shared" ref="Z86:Z91" si="100">C86+G86+K86+O86+S86+W86</f>
        <v>80</v>
      </c>
      <c r="AA86" s="12">
        <v>80</v>
      </c>
      <c r="AB86" s="12">
        <f>AA86/800</f>
        <v>0.1</v>
      </c>
    </row>
    <row r="87" spans="1:28">
      <c r="A87" s="16" t="s">
        <v>36</v>
      </c>
      <c r="B87" s="18">
        <f>550*30</f>
        <v>16500</v>
      </c>
      <c r="C87" s="15">
        <v>50</v>
      </c>
      <c r="D87" s="72">
        <f t="shared" ref="D87:D91" si="101">C87/Z87</f>
        <v>0.55555555555555558</v>
      </c>
      <c r="E87" s="14">
        <f t="shared" ref="E87:E91" si="102">B87*C87</f>
        <v>825000</v>
      </c>
      <c r="F87" s="14">
        <f>600*30</f>
        <v>18000</v>
      </c>
      <c r="G87" s="15">
        <v>10</v>
      </c>
      <c r="H87" s="75">
        <f t="shared" ref="H87:H91" si="103">G87/Z87</f>
        <v>0.1111111111111111</v>
      </c>
      <c r="I87" s="19">
        <f t="shared" ref="I87:I91" si="104">G87*F87</f>
        <v>180000</v>
      </c>
      <c r="J87" s="18">
        <f>590*30</f>
        <v>17700</v>
      </c>
      <c r="K87" s="15">
        <v>15</v>
      </c>
      <c r="L87" s="72">
        <f t="shared" ref="L87:L91" si="105">K87/Z87</f>
        <v>0.16666666666666666</v>
      </c>
      <c r="M87" s="14">
        <f t="shared" ref="M87:M91" si="106">K87*J87</f>
        <v>265500</v>
      </c>
      <c r="N87" s="14">
        <f>650*30</f>
        <v>19500</v>
      </c>
      <c r="O87" s="15">
        <v>5</v>
      </c>
      <c r="P87" s="75">
        <f t="shared" ref="P87:P91" si="107">O87/Z87</f>
        <v>5.5555555555555552E-2</v>
      </c>
      <c r="Q87" s="19">
        <f t="shared" ref="Q87:Q91" si="108">O87*N87</f>
        <v>97500</v>
      </c>
      <c r="R87" s="18">
        <f>590*30</f>
        <v>17700</v>
      </c>
      <c r="S87" s="15">
        <v>5</v>
      </c>
      <c r="T87" s="72">
        <f t="shared" ref="T87:T91" si="109">S87/Z87</f>
        <v>5.5555555555555552E-2</v>
      </c>
      <c r="U87" s="14">
        <f t="shared" ref="U87:U90" si="110">S87*R87</f>
        <v>88500</v>
      </c>
      <c r="V87" s="14">
        <f>650*30</f>
        <v>19500</v>
      </c>
      <c r="W87" s="15">
        <v>5</v>
      </c>
      <c r="X87" s="75">
        <f t="shared" ref="X87:X91" si="111">W87/Z87</f>
        <v>5.5555555555555552E-2</v>
      </c>
      <c r="Y87" s="25">
        <f t="shared" ref="Y87:Y91" si="112">W87*V87</f>
        <v>97500</v>
      </c>
      <c r="Z87" s="27">
        <f t="shared" si="100"/>
        <v>90</v>
      </c>
      <c r="AA87" s="12">
        <v>90</v>
      </c>
      <c r="AB87" s="12">
        <f t="shared" ref="AB87:AB91" si="113">AA87/800</f>
        <v>0.1125</v>
      </c>
    </row>
    <row r="88" spans="1:28">
      <c r="A88" s="16" t="s">
        <v>37</v>
      </c>
      <c r="B88" s="18">
        <f>450*30</f>
        <v>13500</v>
      </c>
      <c r="C88" s="15">
        <v>5</v>
      </c>
      <c r="D88" s="72">
        <f t="shared" si="101"/>
        <v>0.5</v>
      </c>
      <c r="E88" s="14">
        <f t="shared" si="102"/>
        <v>67500</v>
      </c>
      <c r="F88" s="14">
        <f>500*30</f>
        <v>15000</v>
      </c>
      <c r="G88" s="15">
        <v>5</v>
      </c>
      <c r="H88" s="75">
        <f t="shared" si="103"/>
        <v>0.5</v>
      </c>
      <c r="I88" s="19">
        <f t="shared" si="104"/>
        <v>75000</v>
      </c>
      <c r="J88" s="18">
        <f>490*30</f>
        <v>14700</v>
      </c>
      <c r="K88" s="15">
        <v>0</v>
      </c>
      <c r="L88" s="72">
        <f t="shared" si="105"/>
        <v>0</v>
      </c>
      <c r="M88" s="14">
        <f t="shared" si="106"/>
        <v>0</v>
      </c>
      <c r="N88" s="14">
        <f>550*30</f>
        <v>16500</v>
      </c>
      <c r="O88" s="15">
        <v>0</v>
      </c>
      <c r="P88" s="75">
        <f t="shared" si="107"/>
        <v>0</v>
      </c>
      <c r="Q88" s="19">
        <f t="shared" si="108"/>
        <v>0</v>
      </c>
      <c r="R88" s="18">
        <f>490*30</f>
        <v>14700</v>
      </c>
      <c r="S88" s="15">
        <v>0</v>
      </c>
      <c r="T88" s="72">
        <f t="shared" si="109"/>
        <v>0</v>
      </c>
      <c r="U88" s="14">
        <f t="shared" si="110"/>
        <v>0</v>
      </c>
      <c r="V88" s="14">
        <f>550*30</f>
        <v>16500</v>
      </c>
      <c r="W88" s="15">
        <v>0</v>
      </c>
      <c r="X88" s="75">
        <f t="shared" si="111"/>
        <v>0</v>
      </c>
      <c r="Y88" s="25">
        <f t="shared" si="112"/>
        <v>0</v>
      </c>
      <c r="Z88" s="27">
        <f t="shared" si="100"/>
        <v>10</v>
      </c>
      <c r="AA88" s="12">
        <v>10</v>
      </c>
      <c r="AB88" s="12">
        <f t="shared" si="113"/>
        <v>1.2500000000000001E-2</v>
      </c>
    </row>
    <row r="89" spans="1:28">
      <c r="A89" s="16" t="s">
        <v>38</v>
      </c>
      <c r="B89" s="18">
        <f>250*30</f>
        <v>7500</v>
      </c>
      <c r="C89" s="15">
        <v>5</v>
      </c>
      <c r="D89" s="72">
        <f t="shared" si="101"/>
        <v>0.5</v>
      </c>
      <c r="E89" s="14">
        <f t="shared" si="102"/>
        <v>37500</v>
      </c>
      <c r="F89" s="14">
        <f>300*30</f>
        <v>9000</v>
      </c>
      <c r="G89" s="15">
        <v>5</v>
      </c>
      <c r="H89" s="75">
        <f t="shared" si="103"/>
        <v>0.5</v>
      </c>
      <c r="I89" s="19">
        <f t="shared" si="104"/>
        <v>45000</v>
      </c>
      <c r="J89" s="18">
        <f t="shared" ref="J89:J90" si="114">280*30</f>
        <v>8400</v>
      </c>
      <c r="K89" s="15">
        <v>0</v>
      </c>
      <c r="L89" s="72">
        <f t="shared" si="105"/>
        <v>0</v>
      </c>
      <c r="M89" s="14">
        <f t="shared" si="106"/>
        <v>0</v>
      </c>
      <c r="N89" s="14">
        <f t="shared" ref="N89:N90" si="115">340*30</f>
        <v>10200</v>
      </c>
      <c r="O89" s="15">
        <v>0</v>
      </c>
      <c r="P89" s="75">
        <f t="shared" si="107"/>
        <v>0</v>
      </c>
      <c r="Q89" s="19">
        <f t="shared" si="108"/>
        <v>0</v>
      </c>
      <c r="R89" s="18">
        <f t="shared" ref="R89:R90" si="116">280*30</f>
        <v>8400</v>
      </c>
      <c r="S89" s="15">
        <v>0</v>
      </c>
      <c r="T89" s="72">
        <f t="shared" si="109"/>
        <v>0</v>
      </c>
      <c r="U89" s="14">
        <f t="shared" si="110"/>
        <v>0</v>
      </c>
      <c r="V89" s="14">
        <f t="shared" ref="V89:V90" si="117">340*30</f>
        <v>10200</v>
      </c>
      <c r="W89" s="15">
        <v>0</v>
      </c>
      <c r="X89" s="75">
        <f t="shared" si="111"/>
        <v>0</v>
      </c>
      <c r="Y89" s="25">
        <f t="shared" si="112"/>
        <v>0</v>
      </c>
      <c r="Z89" s="27">
        <f t="shared" si="100"/>
        <v>10</v>
      </c>
      <c r="AA89" s="12">
        <v>10</v>
      </c>
      <c r="AB89" s="12">
        <f t="shared" si="113"/>
        <v>1.2500000000000001E-2</v>
      </c>
    </row>
    <row r="90" spans="1:28" ht="30">
      <c r="A90" s="16" t="s">
        <v>39</v>
      </c>
      <c r="B90" s="18">
        <f>250*30</f>
        <v>7500</v>
      </c>
      <c r="C90" s="15">
        <v>5</v>
      </c>
      <c r="D90" s="72">
        <f t="shared" si="101"/>
        <v>1</v>
      </c>
      <c r="E90" s="14">
        <f t="shared" si="102"/>
        <v>37500</v>
      </c>
      <c r="F90" s="14">
        <f t="shared" ref="F90:F91" si="118">300*30</f>
        <v>9000</v>
      </c>
      <c r="G90" s="15">
        <v>0</v>
      </c>
      <c r="H90" s="75">
        <f t="shared" si="103"/>
        <v>0</v>
      </c>
      <c r="I90" s="19">
        <f t="shared" si="104"/>
        <v>0</v>
      </c>
      <c r="J90" s="18">
        <f t="shared" si="114"/>
        <v>8400</v>
      </c>
      <c r="K90" s="15">
        <v>0</v>
      </c>
      <c r="L90" s="72">
        <f t="shared" si="105"/>
        <v>0</v>
      </c>
      <c r="M90" s="14">
        <f t="shared" si="106"/>
        <v>0</v>
      </c>
      <c r="N90" s="14">
        <f t="shared" si="115"/>
        <v>10200</v>
      </c>
      <c r="O90" s="15">
        <v>0</v>
      </c>
      <c r="P90" s="75">
        <f t="shared" si="107"/>
        <v>0</v>
      </c>
      <c r="Q90" s="19">
        <f t="shared" si="108"/>
        <v>0</v>
      </c>
      <c r="R90" s="18">
        <f t="shared" si="116"/>
        <v>8400</v>
      </c>
      <c r="S90" s="15">
        <v>0</v>
      </c>
      <c r="T90" s="72">
        <f t="shared" si="109"/>
        <v>0</v>
      </c>
      <c r="U90" s="14">
        <f t="shared" si="110"/>
        <v>0</v>
      </c>
      <c r="V90" s="14">
        <f t="shared" si="117"/>
        <v>10200</v>
      </c>
      <c r="W90" s="15">
        <v>0</v>
      </c>
      <c r="X90" s="75">
        <f t="shared" si="111"/>
        <v>0</v>
      </c>
      <c r="Y90" s="25">
        <f t="shared" si="112"/>
        <v>0</v>
      </c>
      <c r="Z90" s="27">
        <f t="shared" si="100"/>
        <v>5</v>
      </c>
      <c r="AA90" s="12">
        <v>5</v>
      </c>
      <c r="AB90" s="12">
        <f t="shared" si="113"/>
        <v>6.2500000000000003E-3</v>
      </c>
    </row>
    <row r="91" spans="1:28">
      <c r="A91" s="16" t="s">
        <v>40</v>
      </c>
      <c r="B91" s="18">
        <f>250*30</f>
        <v>7500</v>
      </c>
      <c r="C91" s="15">
        <v>5</v>
      </c>
      <c r="D91" s="72">
        <f t="shared" si="101"/>
        <v>1</v>
      </c>
      <c r="E91" s="14">
        <f t="shared" si="102"/>
        <v>37500</v>
      </c>
      <c r="F91" s="14">
        <f t="shared" si="118"/>
        <v>9000</v>
      </c>
      <c r="G91" s="15">
        <v>0</v>
      </c>
      <c r="H91" s="75">
        <f t="shared" si="103"/>
        <v>0</v>
      </c>
      <c r="I91" s="19">
        <f t="shared" si="104"/>
        <v>0</v>
      </c>
      <c r="J91" s="18">
        <f>250*30</f>
        <v>7500</v>
      </c>
      <c r="K91" s="15">
        <v>0</v>
      </c>
      <c r="L91" s="72">
        <f t="shared" si="105"/>
        <v>0</v>
      </c>
      <c r="M91" s="14">
        <f t="shared" si="106"/>
        <v>0</v>
      </c>
      <c r="N91" s="14">
        <f>250*30</f>
        <v>7500</v>
      </c>
      <c r="O91" s="15">
        <v>0</v>
      </c>
      <c r="P91" s="75">
        <f t="shared" si="107"/>
        <v>0</v>
      </c>
      <c r="Q91" s="19">
        <f t="shared" si="108"/>
        <v>0</v>
      </c>
      <c r="R91" s="18">
        <f>250*30</f>
        <v>7500</v>
      </c>
      <c r="S91" s="15">
        <v>0</v>
      </c>
      <c r="T91" s="72">
        <f t="shared" si="109"/>
        <v>0</v>
      </c>
      <c r="U91" s="14">
        <f>S91*R91</f>
        <v>0</v>
      </c>
      <c r="V91" s="14">
        <f>250*30</f>
        <v>7500</v>
      </c>
      <c r="W91" s="15">
        <v>0</v>
      </c>
      <c r="X91" s="75">
        <f t="shared" si="111"/>
        <v>0</v>
      </c>
      <c r="Y91" s="25">
        <f t="shared" si="112"/>
        <v>0</v>
      </c>
      <c r="Z91" s="27">
        <f t="shared" si="100"/>
        <v>5</v>
      </c>
      <c r="AA91" s="12">
        <v>5</v>
      </c>
      <c r="AB91" s="12">
        <f t="shared" si="113"/>
        <v>6.2500000000000003E-3</v>
      </c>
    </row>
    <row r="92" spans="1:28" ht="16.5" thickBot="1">
      <c r="A92" s="17" t="s">
        <v>41</v>
      </c>
      <c r="B92" s="20"/>
      <c r="C92" s="21">
        <f>SUM(C86:C91)</f>
        <v>110</v>
      </c>
      <c r="D92" s="74"/>
      <c r="E92" s="22">
        <f>SUM(E86:E91)</f>
        <v>1905000</v>
      </c>
      <c r="F92" s="23"/>
      <c r="G92" s="21">
        <f>SUM(G86:G91)</f>
        <v>30</v>
      </c>
      <c r="H92" s="76"/>
      <c r="I92" s="24">
        <f>SUM(I86:I91)</f>
        <v>540000</v>
      </c>
      <c r="J92" s="20"/>
      <c r="K92" s="21">
        <f>SUM(K86:K91)</f>
        <v>35</v>
      </c>
      <c r="L92" s="74"/>
      <c r="M92" s="22">
        <f>SUM(M86:M91)</f>
        <v>733500</v>
      </c>
      <c r="N92" s="23"/>
      <c r="O92" s="21">
        <f>SUM(O86:O91)</f>
        <v>10</v>
      </c>
      <c r="P92" s="76"/>
      <c r="Q92" s="24">
        <f>SUM(Q86:Q91)</f>
        <v>223500</v>
      </c>
      <c r="R92" s="20"/>
      <c r="S92" s="21">
        <f>SUM(S86:S91)</f>
        <v>10</v>
      </c>
      <c r="T92" s="74"/>
      <c r="U92" s="22">
        <f>SUM(U86:U91)</f>
        <v>205500</v>
      </c>
      <c r="V92" s="23"/>
      <c r="W92" s="21">
        <f>SUM(W86:W91)</f>
        <v>5</v>
      </c>
      <c r="X92" s="76"/>
      <c r="Y92" s="26">
        <f>SUM(Y86:Y91)</f>
        <v>97500</v>
      </c>
      <c r="Z92" s="28">
        <f>Y92+U92+Q92+M92+I92+E92</f>
        <v>3705000</v>
      </c>
      <c r="AA92" s="10">
        <f>SUM(AA86:AA91)</f>
        <v>200</v>
      </c>
      <c r="AB92" s="10"/>
    </row>
    <row r="93" spans="1:28">
      <c r="G93" s="13">
        <f>SUM(G92+C92)</f>
        <v>140</v>
      </c>
      <c r="I93" s="11">
        <f>I92+E92</f>
        <v>2445000</v>
      </c>
      <c r="O93" s="13">
        <f>K92+O92</f>
        <v>45</v>
      </c>
      <c r="Q93" s="11">
        <f>Q92+M92</f>
        <v>957000</v>
      </c>
      <c r="W93" s="13">
        <f>W92+S92</f>
        <v>15</v>
      </c>
      <c r="Y93" s="11">
        <f>Y92+U92</f>
        <v>303000</v>
      </c>
      <c r="Z93" s="90">
        <f>SUM(Z86:Z91)</f>
        <v>200</v>
      </c>
    </row>
    <row r="94" spans="1:28">
      <c r="G94" s="73">
        <f>G93/200</f>
        <v>0.7</v>
      </c>
      <c r="O94" s="73">
        <f>O93/200</f>
        <v>0.22500000000000001</v>
      </c>
      <c r="W94" s="73">
        <f>W93/200</f>
        <v>7.4999999999999997E-2</v>
      </c>
      <c r="Z94" s="11">
        <f>Z92/30</f>
        <v>123500</v>
      </c>
    </row>
  </sheetData>
  <mergeCells count="35">
    <mergeCell ref="B2:I2"/>
    <mergeCell ref="J2:Q2"/>
    <mergeCell ref="R2:Y2"/>
    <mergeCell ref="A2:A3"/>
    <mergeCell ref="Z2:Z3"/>
    <mergeCell ref="A15:A16"/>
    <mergeCell ref="B15:I15"/>
    <mergeCell ref="J15:Q15"/>
    <mergeCell ref="R15:Y15"/>
    <mergeCell ref="Z15:Z16"/>
    <mergeCell ref="A29:A30"/>
    <mergeCell ref="B29:I29"/>
    <mergeCell ref="J29:Q29"/>
    <mergeCell ref="R29:Y29"/>
    <mergeCell ref="Z29:Z30"/>
    <mergeCell ref="A44:A45"/>
    <mergeCell ref="B44:I44"/>
    <mergeCell ref="J44:Q44"/>
    <mergeCell ref="R44:Y44"/>
    <mergeCell ref="Z44:Z45"/>
    <mergeCell ref="A58:A59"/>
    <mergeCell ref="B58:I58"/>
    <mergeCell ref="J58:Q58"/>
    <mergeCell ref="R58:Y58"/>
    <mergeCell ref="Z58:Z59"/>
    <mergeCell ref="A71:A72"/>
    <mergeCell ref="B71:I71"/>
    <mergeCell ref="J71:Q71"/>
    <mergeCell ref="R71:Y71"/>
    <mergeCell ref="Z71:Z72"/>
    <mergeCell ref="A84:A85"/>
    <mergeCell ref="B84:I84"/>
    <mergeCell ref="J84:Q84"/>
    <mergeCell ref="R84:Y84"/>
    <mergeCell ref="Z84:Z85"/>
  </mergeCells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1</vt:i4>
      </vt:variant>
    </vt:vector>
  </HeadingPairs>
  <TitlesOfParts>
    <vt:vector size="9" baseType="lpstr">
      <vt:lpstr>700 people_Lower</vt:lpstr>
      <vt:lpstr>700 people_Higher</vt:lpstr>
      <vt:lpstr>1000 people_Lower</vt:lpstr>
      <vt:lpstr>1000 people_Higher</vt:lpstr>
      <vt:lpstr>1500 people_Lower</vt:lpstr>
      <vt:lpstr>1500 people_Higher</vt:lpstr>
      <vt:lpstr>Break Even Point</vt:lpstr>
      <vt:lpstr>Registration Fee</vt:lpstr>
      <vt:lpstr>'1000 people_Lower'!Print_Area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user</cp:lastModifiedBy>
  <dcterms:created xsi:type="dcterms:W3CDTF">2022-10-12T09:26:50Z</dcterms:created>
  <dcterms:modified xsi:type="dcterms:W3CDTF">2022-10-27T13:23:41Z</dcterms:modified>
</cp:coreProperties>
</file>